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945" windowHeight="5775" tabRatio="757" activeTab="10"/>
  </bookViews>
  <sheets>
    <sheet name="Mau 69" sheetId="1" r:id="rId1"/>
    <sheet name="Mau 71" sheetId="2" r:id="rId2"/>
    <sheet name="Mau 17" sheetId="3" state="hidden" r:id="rId3"/>
    <sheet name="Mau 70" sheetId="4" r:id="rId4"/>
    <sheet name="Mau 32" sheetId="5" state="hidden" r:id="rId5"/>
    <sheet name="Mau 72" sheetId="6" r:id="rId6"/>
    <sheet name="Mau 73" sheetId="7" r:id="rId7"/>
    <sheet name="Mau 74" sheetId="8" r:id="rId8"/>
    <sheet name="Mau 76" sheetId="9" r:id="rId9"/>
    <sheet name="Mau 79" sheetId="10" r:id="rId10"/>
    <sheet name="Mau 77" sheetId="11" r:id="rId11"/>
    <sheet name="Mau 41" sheetId="12" state="hidden" r:id="rId12"/>
  </sheets>
  <definedNames>
    <definedName name="_xlnm.Print_Titles" localSheetId="2">'Mau 17'!$7:$8</definedName>
    <definedName name="_xlnm.Print_Titles" localSheetId="4">'Mau 32'!$7:$8</definedName>
    <definedName name="_xlnm.Print_Titles" localSheetId="0">'Mau 69'!$7:$8</definedName>
    <definedName name="_xlnm.Print_Titles" localSheetId="3">'Mau 70'!$8:$9</definedName>
    <definedName name="_xlnm.Print_Titles" localSheetId="1">'Mau 71'!$8:$9</definedName>
    <definedName name="_xlnm.Print_Titles" localSheetId="5">'Mau 72'!$8:$9</definedName>
    <definedName name="_xlnm.Print_Titles" localSheetId="6">'Mau 73'!$8:$8</definedName>
    <definedName name="_xlnm.Print_Titles" localSheetId="7">'Mau 74'!$8:$9</definedName>
    <definedName name="_xlnm.Print_Titles" localSheetId="8">'Mau 76'!$8:$9</definedName>
  </definedNames>
  <calcPr fullCalcOnLoad="1"/>
</workbook>
</file>

<file path=xl/sharedStrings.xml><?xml version="1.0" encoding="utf-8"?>
<sst xmlns="http://schemas.openxmlformats.org/spreadsheetml/2006/main" count="826" uniqueCount="389">
  <si>
    <t>STT</t>
  </si>
  <si>
    <t>Nội dung</t>
  </si>
  <si>
    <t>So sánh (3)</t>
  </si>
  <si>
    <t>Tuyệt đối</t>
  </si>
  <si>
    <t>Tương đối (%)</t>
  </si>
  <si>
    <t>A</t>
  </si>
  <si>
    <t>B</t>
  </si>
  <si>
    <t>TỔNG NGUỒN THU NSĐP</t>
  </si>
  <si>
    <t>I</t>
  </si>
  <si>
    <t>Thu NSĐP được hưởng theo phân cấp</t>
  </si>
  <si>
    <t>-</t>
  </si>
  <si>
    <t>Thu NSĐP hưởng 100%</t>
  </si>
  <si>
    <t>Thu NSĐP hưởng từ các khoản thu phân chia</t>
  </si>
  <si>
    <t>II</t>
  </si>
  <si>
    <t xml:space="preserve">Thu bổ sung từ ngân sách cấp trên </t>
  </si>
  <si>
    <t>Thu bổ sung cân đối ngân sách</t>
  </si>
  <si>
    <t>Thu bổ sung có mục tiêu</t>
  </si>
  <si>
    <t>III</t>
  </si>
  <si>
    <t>Thu từ quỹ dự trữ tài chính</t>
  </si>
  <si>
    <t>IV</t>
  </si>
  <si>
    <t>Thu kết dư</t>
  </si>
  <si>
    <t>V</t>
  </si>
  <si>
    <t>Thu chuyển nguồn từ năm trước chuyển sang</t>
  </si>
  <si>
    <t>TỔNG CHI NSĐP</t>
  </si>
  <si>
    <t xml:space="preserve">Tổng chi cân đối NSĐP </t>
  </si>
  <si>
    <t>Chi thường xuyên</t>
  </si>
  <si>
    <t>Chi trả nợ lãi các khoản do chính quyền địa phương vay (2)</t>
  </si>
  <si>
    <t>Chi bổ sung quỹ dự trữ tài chính (2)</t>
  </si>
  <si>
    <t>Dự phòng ngân sách</t>
  </si>
  <si>
    <t>Chi tạo nguồn, điều chỉnh tiền lương</t>
  </si>
  <si>
    <t xml:space="preserve">Chi các chương trình mục tiêu </t>
  </si>
  <si>
    <t>Chi các chương trình mục tiêu quốc gia</t>
  </si>
  <si>
    <t>Chi các chương trình mục tiêu, nhiệm vụ</t>
  </si>
  <si>
    <t>Chi chuyển nguồn sang năm sau</t>
  </si>
  <si>
    <t>C</t>
  </si>
  <si>
    <t>D</t>
  </si>
  <si>
    <t>Từ nguồn vay để trả nợ gốc</t>
  </si>
  <si>
    <t>Từ nguồn bội thu, tăng thu, tiết kiệm chi, kết dư ngân sách cấp tỉnh</t>
  </si>
  <si>
    <t>E</t>
  </si>
  <si>
    <t>Vay để bù đắp bội chi</t>
  </si>
  <si>
    <t>Vay để trả nợ gốc</t>
  </si>
  <si>
    <t>So sánh (%)</t>
  </si>
  <si>
    <t>Tổng thu NSNN</t>
  </si>
  <si>
    <t>Thu NSĐP</t>
  </si>
  <si>
    <t>5=3/1</t>
  </si>
  <si>
    <t>6=4/2</t>
  </si>
  <si>
    <t>TỔNG THU NSNN</t>
  </si>
  <si>
    <t>Thu nội địa</t>
  </si>
  <si>
    <t>Thuế thu nhập cá nhân</t>
  </si>
  <si>
    <t xml:space="preserve">Thuế bảo vệ môi trường </t>
  </si>
  <si>
    <t>Thuế BVMT thu từ hàng hóa sản xuất, kinh doanh trong nước</t>
  </si>
  <si>
    <t>Thuế BVMT thu từ hàng hóa nhập khẩu</t>
  </si>
  <si>
    <t>Lệ phí trước bạ</t>
  </si>
  <si>
    <t>Thu phí, lệ phí</t>
  </si>
  <si>
    <t>Phí và lệ phí trung ương</t>
  </si>
  <si>
    <t>Phí và lệ phí tỉnh</t>
  </si>
  <si>
    <t>Phí và lệ phí huyện</t>
  </si>
  <si>
    <t>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</si>
  <si>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</si>
  <si>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</si>
  <si>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</si>
  <si>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</si>
  <si>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</si>
  <si>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 xml:space="preserve">Thu từ hoạt động xổ số kiến thiết </t>
  </si>
  <si>
    <t>Thu tiền cấp quyền khai thác khoáng sản</t>
  </si>
  <si>
    <t>Thu khác ngân sách</t>
  </si>
  <si>
    <t>Thu từ quỹ đất công ích, hoa lợi công sản khác</t>
  </si>
  <si>
    <t>Thu từ dầu thô</t>
  </si>
  <si>
    <t>Thu từ hoạt động xuất, nhập khẩu</t>
  </si>
  <si>
    <t>Thuế GTGT thu từ hàng hóa nhập khẩu</t>
  </si>
  <si>
    <t>Thuế xuất khẩu</t>
  </si>
  <si>
    <t>Thuế nhập khẩu</t>
  </si>
  <si>
    <t>Thuế TTĐB thu từ hàng hóa nhập khẩu</t>
  </si>
  <si>
    <t>Thu khác</t>
  </si>
  <si>
    <t>Thu viện trợ</t>
  </si>
  <si>
    <t>So sánh</t>
  </si>
  <si>
    <t>3=2-1</t>
  </si>
  <si>
    <t>4=2/1</t>
  </si>
  <si>
    <t>CHI CÂN ĐỐI NSĐP</t>
  </si>
  <si>
    <t xml:space="preserve">Chi đầu tư cho các dự án </t>
  </si>
  <si>
    <t>Trong đó: Chia theo lĩnh vực</t>
  </si>
  <si>
    <t>Chi giáo dục - đào tạo và dạy nghề</t>
  </si>
  <si>
    <t xml:space="preserve">Chi khoa học và công nghệ </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</si>
  <si>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</si>
  <si>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</si>
  <si>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</si>
  <si>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</si>
  <si>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</si>
  <si>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</si>
  <si>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khoa học và công nghệ (2)</t>
  </si>
  <si>
    <t>VI</t>
  </si>
  <si>
    <t>CHI CÁC CHƯƠNG TRÌNH MỤC TIÊU</t>
  </si>
  <si>
    <t xml:space="preserve">Chi các chương trình mục tiêu, nhiệm vụ </t>
  </si>
  <si>
    <t>CHI CHUYỂN NGUỒN SANG NĂM SAU</t>
  </si>
  <si>
    <t xml:space="preserve">Nguồn thu ngân sách </t>
  </si>
  <si>
    <t>Thu ngân sách được hưởng theo phân cấp</t>
  </si>
  <si>
    <t>Thu bổ sung từ ngân sách cấp trên</t>
  </si>
  <si>
    <t>Chi ngân sách</t>
  </si>
  <si>
    <t>Chi bổ sung cho ngân sách cấp dưới</t>
  </si>
  <si>
    <t>Chi bổ sung cân đối ngân sách</t>
  </si>
  <si>
    <t>Chi bổ sung có mục tiêu</t>
  </si>
  <si>
    <t xml:space="preserve">Chi ngân sách </t>
  </si>
  <si>
    <t>Tên đơn vị</t>
  </si>
  <si>
    <t>Tổng thu NSNN trên địa bàn</t>
  </si>
  <si>
    <t>I- Thu nội địa</t>
  </si>
  <si>
    <t>Bao gồm</t>
  </si>
  <si>
    <t>II- Thu từ dầu thô</t>
  </si>
  <si>
    <t>III- Thu từ hoạt động xuất nhập khẩu</t>
  </si>
  <si>
    <t>1. Thu từ khu vực DNNN do trung ương quản lý</t>
  </si>
  <si>
    <t>2. Thu từ khu vực DNNN do địa phương quản lý</t>
  </si>
  <si>
    <t>1. Thuế giá trị gia tăng thu từ hàng hóa nhập khẩu</t>
  </si>
  <si>
    <t>2. Thuế xuất khẩu</t>
  </si>
  <si>
    <t>3. Thuế nhập khẩu</t>
  </si>
  <si>
    <t>4. Thuế tiêu thụ đặc biệt thu từ hàng hóa nhập khẩu</t>
  </si>
  <si>
    <t>5. Thuế bảo vệ môi trường thu từ hàng hóa nhập khẩu</t>
  </si>
  <si>
    <t>6. Thu khác</t>
  </si>
  <si>
    <t>TỔNG SỐ</t>
  </si>
  <si>
    <t>Ngân sách địa phương</t>
  </si>
  <si>
    <t>1=2+3</t>
  </si>
  <si>
    <t xml:space="preserve">Chi đầu tư phát triển (1) </t>
  </si>
  <si>
    <t>Chi đầu tư cho các dự án</t>
  </si>
  <si>
    <t>Dự toán</t>
  </si>
  <si>
    <t>Chi khoa học và công nghệ</t>
  </si>
  <si>
    <t>Chi quốc phòng</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</si>
  <si>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</si>
  <si>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</si>
  <si>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</si>
  <si>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</si>
  <si>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</si>
  <si>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</si>
  <si>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</si>
  <si>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 xml:space="preserve">Chi hoạt động của cơ quan quản lý nhà nước, đảng, đoàn thể </t>
  </si>
  <si>
    <t>Chi bảo đảm xã hội</t>
  </si>
  <si>
    <t>Chi đầu tư khác</t>
  </si>
  <si>
    <t>Chi đầu tư và hỗ trợ vốn cho các doanh nghiệp cung cấp sản phẩm, dịch vụ công ích do Nhà nước đặt hàng, các tổ chức kinh tế,</t>
  </si>
  <si>
    <t>Chi hoạt động của cơ quan quản lý nhà nước, đảng, đoàn thể</t>
  </si>
  <si>
    <t>Chi thường xuyên khác</t>
  </si>
  <si>
    <t>Chi trả nợ lãi các khoản do chính quyền địa phương vay (3)</t>
  </si>
  <si>
    <t>Chi bổ sung quỹ dự trữ tài chính (3)</t>
  </si>
  <si>
    <t>Tổng số</t>
  </si>
  <si>
    <t>Chi dự phòng ngân sách</t>
  </si>
  <si>
    <t>Chi chương trình MTQG</t>
  </si>
  <si>
    <t>Chi chuyển nguồn sang ngân sách năm sau</t>
  </si>
  <si>
    <t>Chi đầu tư phát triển</t>
  </si>
  <si>
    <t>CÁC CƠ QUAN, TỔ CHỨC</t>
  </si>
  <si>
    <t>CHI TRẢ NỢ LÃI CÁC KHOẢN DO CHÍNH QUYỀN ĐỊA PHƯƠNG VAY (1)</t>
  </si>
  <si>
    <t>CHI BỔ SUNG QUỸ DỰ TRỮ TÀI CHÍNH (1)</t>
  </si>
  <si>
    <t>CHI DỰ PHÒNG NGÂN SÁCH</t>
  </si>
  <si>
    <t>CHI TẠO NGUỒN, ĐIỀU CHỈNH TIỀN LƯƠNG</t>
  </si>
  <si>
    <t>CHI BỔ SUNG CÓ MỤC TIÊU CHO NGÂN SÁCH CẤP DƯỚI (2)</t>
  </si>
  <si>
    <t>VII</t>
  </si>
  <si>
    <t>CHI CHUYỂN NGUỒN SANG NGÂN SÁCH NĂM SAU</t>
  </si>
  <si>
    <t>Trong đó</t>
  </si>
  <si>
    <t>Chi giao thông</t>
  </si>
  <si>
    <t>Chi nông nghiệp, lâm nghiệp, thủy lợi, thủy sản</t>
  </si>
  <si>
    <t>Tên đơn vị (1)</t>
  </si>
  <si>
    <t>Đầu tư phát triển</t>
  </si>
  <si>
    <t>Kinh phí sự nghiệp</t>
  </si>
  <si>
    <t>Vốn trong nước</t>
  </si>
  <si>
    <t>Vốn ngoài nước</t>
  </si>
  <si>
    <t>1= +3</t>
  </si>
  <si>
    <t>2=5+12</t>
  </si>
  <si>
    <t>3=8+15</t>
  </si>
  <si>
    <t>4=5+8</t>
  </si>
  <si>
    <t>5=6+7</t>
  </si>
  <si>
    <t>8=9+10</t>
  </si>
  <si>
    <t>11=12+15</t>
  </si>
  <si>
    <t>12=13+14</t>
  </si>
  <si>
    <t>15=16+17</t>
  </si>
  <si>
    <t>Chia ra</t>
  </si>
  <si>
    <t>Số bổ sung cân đối từ ngân sách cấp trên</t>
  </si>
  <si>
    <t>Số bổ sung thực hiện cải cách tiền lương</t>
  </si>
  <si>
    <t>Tổng chi cân đối NSĐP</t>
  </si>
  <si>
    <t>Thu phân chia</t>
  </si>
  <si>
    <t>2=3+5</t>
  </si>
  <si>
    <t>9=2+6+7+8</t>
  </si>
  <si>
    <t>Tổng chi ngân sách địa phương</t>
  </si>
  <si>
    <t>Tổng chi cân đối ngân sách địa phương</t>
  </si>
  <si>
    <t>Chi chương trình mục tiêu</t>
  </si>
  <si>
    <t>Chi bổ sung quỹ dự trữ tài chính</t>
  </si>
  <si>
    <t>Chi tạo nguồn điều chỉnh tiền lương</t>
  </si>
  <si>
    <t>Bổ sung vốn đầu tư để thực hiện các chương trình mục tiêu, nhiệm vụ</t>
  </si>
  <si>
    <t>Bổ sung vốn sự nghiệp thực hiện các chế độ, chính sách</t>
  </si>
  <si>
    <t>Bổ sung thực hiện các chương trình mục tiêu quốc gia</t>
  </si>
  <si>
    <t>Chi đầu tư từ nguồn vốn trong nước</t>
  </si>
  <si>
    <t>Chi đầu tư từ nguồn thu XSKT (nếu có)</t>
  </si>
  <si>
    <t>Chi giáo dục, đào tạo và dạy nghề</t>
  </si>
  <si>
    <t>1=2+15 +19</t>
  </si>
  <si>
    <t>2=3+9+ 12+13+14</t>
  </si>
  <si>
    <t>3=6+7+8</t>
  </si>
  <si>
    <t>15=16+ 17+18</t>
  </si>
  <si>
    <t>Dự toán năm 2018</t>
  </si>
  <si>
    <r>
      <rPr>
        <b/>
        <sz val="11"/>
        <color indexed="8"/>
        <rFont val="Times New Roman"/>
        <family val="1"/>
      </rPr>
      <t>ĐVT</t>
    </r>
    <r>
      <rPr>
        <sz val="11"/>
        <color indexed="8"/>
        <rFont val="Times New Roman"/>
        <family val="1"/>
      </rPr>
      <t>: Triệu đồng</t>
    </r>
  </si>
  <si>
    <t>Thu từ nguồn CCTL cân đối chi</t>
  </si>
  <si>
    <t>DỰ TOÁN THU NGÂN SÁCH NHÀ NƯỚC THEO LĨNH VỰC NĂM 2018</t>
  </si>
  <si>
    <t>Ước thực hiện năm 2017</t>
  </si>
  <si>
    <t>Chi trả nợ lãi các khoản do chính quyền địa phương vay</t>
  </si>
  <si>
    <t>BỘI CHI NSĐP/BỘI THU NSĐP</t>
  </si>
  <si>
    <t>CHI TRẢ NỢ GỐC CỦA NSĐP</t>
  </si>
  <si>
    <t>TỔNG MỨC VAY CỦA NSĐP</t>
  </si>
  <si>
    <t>Thu từ khu vực DNNN do trung ương quản lý</t>
  </si>
  <si>
    <t>Thu từ khu vực DNNN do địa phương quản lý</t>
  </si>
  <si>
    <t>Thu từ khu vực doanh nghiệp có vốn đầu tư nước ngoài</t>
  </si>
  <si>
    <t>Thu từ khu vực kinh tế ngoài quốc doanh</t>
  </si>
  <si>
    <t>Thuế GTGT</t>
  </si>
  <si>
    <t>Thuế TNDN</t>
  </si>
  <si>
    <t>Thuế TTĐB</t>
  </si>
  <si>
    <t>Lợi nhuận được chia của Nhà nước và lợi nhuận sau thuế còn lại sau khi trích lập các quỹ của doanh nghiệp nhà nước</t>
  </si>
  <si>
    <t>Thu hồi vốn, thu cổ tức</t>
  </si>
  <si>
    <t>Lệ phí môn bài</t>
  </si>
  <si>
    <t>DỰ TOÁN CHI NGÂN SÁCH ĐỊA PHƯƠNG THEO CƠ CẤU CHI NĂM 2018</t>
  </si>
  <si>
    <t>Dự toán năm 2017</t>
  </si>
  <si>
    <t>Chi chương trình mục tiêu quốc gia về dân số KHHGĐ</t>
  </si>
  <si>
    <t>Chi chuương trình mục tiêu về việc làm</t>
  </si>
  <si>
    <t>Chi thuộc nhiệm vụ của ngân sách cấp quận</t>
  </si>
  <si>
    <t>Bội chi NSĐP/Bội thu NSĐP</t>
  </si>
  <si>
    <t>NGÂN SÁCH QUẬN</t>
  </si>
  <si>
    <t>Chi thuộc nhiệm vụ của ngân sách quận</t>
  </si>
  <si>
    <t>Thu từ nguồn CCTL cân đối chi TX</t>
  </si>
  <si>
    <t>DỰ TOÁN THU NGÂN SÁCH NHÀ NƯỚC TRÊN ĐỊA BÀN TỪNG PHƯỜNG THEO LĨNH VỰC NĂM 2018</t>
  </si>
  <si>
    <t>Trung Mỹ Tây</t>
  </si>
  <si>
    <t>Tân Thới Nhất</t>
  </si>
  <si>
    <t>Đông Hưng Thuận</t>
  </si>
  <si>
    <t>An Phú Đông</t>
  </si>
  <si>
    <t>Tân Chánh Hiệp</t>
  </si>
  <si>
    <t>Thạnh Lộc</t>
  </si>
  <si>
    <t>Thạnh Xuân</t>
  </si>
  <si>
    <t>Hiệp Thành</t>
  </si>
  <si>
    <t>Thới An</t>
  </si>
  <si>
    <t>Tân Thới Hiệp</t>
  </si>
  <si>
    <t>Tân Hưng Thuận</t>
  </si>
  <si>
    <t>3. Thu từ khu vực kinh tế ngoài quốc doanh</t>
  </si>
  <si>
    <t>4. Lệ phí môn bài</t>
  </si>
  <si>
    <t>5. Thuế sử dụng đất PNN</t>
  </si>
  <si>
    <t>6. Thu phí, lệ phí</t>
  </si>
  <si>
    <t>7. Thu khác</t>
  </si>
  <si>
    <t>CÂN ĐỐI NGUỒN THU, CHI DỰ TOÁN NGÂN SÁCH QUẬN VÀ NGÂN SÁCH PHƯỜNG NĂM 2018</t>
  </si>
  <si>
    <t>NGÂN SÁCH PHƯỜNG</t>
  </si>
  <si>
    <t>DỰ TOÁN CHI NGÂN SÁCH ĐỊA PHƯƠNG, CHI NGÂN SÁCH QUẬN VÀ CHI NGÂN SÁCH PHƯỜNG THEO CƠ CẤU CHI NĂM 2018</t>
  </si>
  <si>
    <t>Ngân sách quận</t>
  </si>
  <si>
    <t>Ngân sách phường</t>
  </si>
  <si>
    <t>DỰ TOÁN CHI NGÂN SÁCH CẤP QUẬN THEO LĨNH VỰC NĂM 2018</t>
  </si>
  <si>
    <t xml:space="preserve">CHI BỔ SUNG CÂN ĐỐI CHO NGÂN SÁCH CẤP DƯỚI </t>
  </si>
  <si>
    <t>CHI NGÂN SÁCH CẤP QUẬN THEO LĨNH VỰC</t>
  </si>
  <si>
    <t>DỰ TOÁN CHI NGÂN SÁCH CẤP QUẬN CHO TỪNG CƠ QUAN, TỔ CHỨC THEO LĨNH VỰC NĂM 2018</t>
  </si>
  <si>
    <t>Chi đầu tư phát triển (Không kể chương trình MTQG)</t>
  </si>
  <si>
    <t>Chi thường xuyên (Không kể chương trình MTQG)</t>
  </si>
  <si>
    <t>Phòng QLĐT</t>
  </si>
  <si>
    <t xml:space="preserve">Thanh tra </t>
  </si>
  <si>
    <t>Phòng TCKH</t>
  </si>
  <si>
    <t>Phòng VHTT</t>
  </si>
  <si>
    <t>Phòng GDĐT</t>
  </si>
  <si>
    <t>Phòng Nội vụ</t>
  </si>
  <si>
    <t>Phòng TNMT</t>
  </si>
  <si>
    <t>Phòng Kinh tế</t>
  </si>
  <si>
    <t>Phòng Y tế</t>
  </si>
  <si>
    <t>Phòng LĐTBXH</t>
  </si>
  <si>
    <t>UB.MTTQ</t>
  </si>
  <si>
    <t>LHPN</t>
  </si>
  <si>
    <t>Hội CCB</t>
  </si>
  <si>
    <t>Hội Chữ thập đỏ</t>
  </si>
  <si>
    <t>Hội Nông dân</t>
  </si>
  <si>
    <t>Quận đoàn</t>
  </si>
  <si>
    <t>Hội Nạn nhân chất độc da cam</t>
  </si>
  <si>
    <t>Hội người mù</t>
  </si>
  <si>
    <t>Hội luật gia</t>
  </si>
  <si>
    <t>Hội người cao tuổi</t>
  </si>
  <si>
    <t>Hội cựu Thanh niên XP</t>
  </si>
  <si>
    <t>Hội Khuyến học</t>
  </si>
  <si>
    <t>MN Sơn Ca</t>
  </si>
  <si>
    <t>MN Sơn Ca 5</t>
  </si>
  <si>
    <t>MN Vàng Anh</t>
  </si>
  <si>
    <t>MN Bông Hồng</t>
  </si>
  <si>
    <t>MN Hồng Yến</t>
  </si>
  <si>
    <t>MN Sơn Ca 3</t>
  </si>
  <si>
    <t>MN Sơn Ca 2</t>
  </si>
  <si>
    <t>MN Sơn Ca 4</t>
  </si>
  <si>
    <t>MN Sơn Ca 6</t>
  </si>
  <si>
    <t>MN Sơn Ca 7</t>
  </si>
  <si>
    <t>MN Họa Mi 1</t>
  </si>
  <si>
    <t>MN Sơn Ca 8</t>
  </si>
  <si>
    <t>MN Sơn Ca 9</t>
  </si>
  <si>
    <t>MG Sơn Ca 1</t>
  </si>
  <si>
    <t>MG Họa Mi 2</t>
  </si>
  <si>
    <t xml:space="preserve">MG Bé Ngoan </t>
  </si>
  <si>
    <t xml:space="preserve">MG Bông Sen </t>
  </si>
  <si>
    <t>TH Nguyễn Thị Minh Khai</t>
  </si>
  <si>
    <t>TH Thuận Kiều</t>
  </si>
  <si>
    <t xml:space="preserve">TH Nguyễn Du </t>
  </si>
  <si>
    <t xml:space="preserve">TH Nguyễn Khuyến </t>
  </si>
  <si>
    <t>TH Quới Xuân</t>
  </si>
  <si>
    <t>TH Quang Trung</t>
  </si>
  <si>
    <t>TH Kim Đồng</t>
  </si>
  <si>
    <t xml:space="preserve">TH Hà Huy Giáp </t>
  </si>
  <si>
    <t>TH Võ Văn Tần</t>
  </si>
  <si>
    <t>TH Trương Định</t>
  </si>
  <si>
    <t>TH Nguyễn Thị Định</t>
  </si>
  <si>
    <t xml:space="preserve">TH Trần Văn Ơn </t>
  </si>
  <si>
    <t xml:space="preserve">TH Hồ Văn Thanh </t>
  </si>
  <si>
    <t>TH Trần Quang Cơ</t>
  </si>
  <si>
    <t>TH Nguyễn Văn Thệ</t>
  </si>
  <si>
    <t>TH Pham Văn Chiêu</t>
  </si>
  <si>
    <t>TH Nguyễn Trãi</t>
  </si>
  <si>
    <t>TH Lê Văn Thọ</t>
  </si>
  <si>
    <t>TH Nguyễn Thái Bình</t>
  </si>
  <si>
    <t>TH Lý Tự Trọng</t>
  </si>
  <si>
    <t>TH Võ Thị Sáu</t>
  </si>
  <si>
    <t>THCS Nguyễn Vĩnh Nghiệp</t>
  </si>
  <si>
    <t xml:space="preserve">THCS Nguyễn Ảnh Thủ </t>
  </si>
  <si>
    <t xml:space="preserve">THCS Phan Bội Châu </t>
  </si>
  <si>
    <t xml:space="preserve">THCS Nguyễn An Ninh </t>
  </si>
  <si>
    <t xml:space="preserve">THCS An Phú Đông </t>
  </si>
  <si>
    <t>THCS Nguyễn Huệ</t>
  </si>
  <si>
    <t xml:space="preserve">THCS Nguyễn Hiền </t>
  </si>
  <si>
    <t>THCS Trần Quang Khải</t>
  </si>
  <si>
    <t>THCS Lương Thế Vinh</t>
  </si>
  <si>
    <t>THCS Trần Hưng Đạo</t>
  </si>
  <si>
    <t>THCS Nguyễn Trung Trực</t>
  </si>
  <si>
    <t>THCS Nguyễn Chí Thanh</t>
  </si>
  <si>
    <t>Trung tâm KTTH-HN</t>
  </si>
  <si>
    <t>Trường CBAD</t>
  </si>
  <si>
    <t>Trường BDGD</t>
  </si>
  <si>
    <t>Nhà thiếu nhi</t>
  </si>
  <si>
    <t>Bệnh Viện</t>
  </si>
  <si>
    <t>Trung tâm Y tế dự phòng</t>
  </si>
  <si>
    <t>Trung tâm TDTT</t>
  </si>
  <si>
    <t>Trung Tâm BDCT</t>
  </si>
  <si>
    <t>Công an</t>
  </si>
  <si>
    <t>Ban chỉ huy quân sự</t>
  </si>
  <si>
    <t>Tòa án nhân dân</t>
  </si>
  <si>
    <t>Viện Kiểm sát nhân dân</t>
  </si>
  <si>
    <t>Chi cục Thi hành án</t>
  </si>
  <si>
    <t>Chi cục Thống kê</t>
  </si>
  <si>
    <t>Phường Tân Thới Nhất</t>
  </si>
  <si>
    <t>Phường Đông Hưng Thuận</t>
  </si>
  <si>
    <t>Phường An Phú Đông</t>
  </si>
  <si>
    <t>Phường Trung Mỹ Tây</t>
  </si>
  <si>
    <t>Phường Tân Chánh Hiệp</t>
  </si>
  <si>
    <t>Phường Thạnh Lộc</t>
  </si>
  <si>
    <t>Phường Thạnh Xuân</t>
  </si>
  <si>
    <t>Phường Hiệp Thành</t>
  </si>
  <si>
    <t>Phường Thới An</t>
  </si>
  <si>
    <t>Phường Tân Thới Hiệp</t>
  </si>
  <si>
    <t>Phường Tân Hưng Thuận</t>
  </si>
  <si>
    <t>Sự nghiệp thủy lợi</t>
  </si>
  <si>
    <t>Sự nghiệp kinh tế chưa phân bổ</t>
  </si>
  <si>
    <t>Sự nghiệp giáo dục chưa phân bổ</t>
  </si>
  <si>
    <t>Sự nghiệp y tế chưa phân bổ</t>
  </si>
  <si>
    <t>Sự nghiệp ANQP chưa phân bổ</t>
  </si>
  <si>
    <t>Chi khác</t>
  </si>
  <si>
    <t>Dự phòng</t>
  </si>
  <si>
    <t xml:space="preserve">Văn phòng HĐND và UBND </t>
  </si>
  <si>
    <t>Phòng Tư pháp</t>
  </si>
  <si>
    <t>Chi trả nợ lãi do chính quyền địa phương vay</t>
  </si>
  <si>
    <t>MN Hoa Đào</t>
  </si>
  <si>
    <t>MN Ngọc Lan</t>
  </si>
  <si>
    <t>THCS Hà Huy Tập</t>
  </si>
  <si>
    <t>Trung tâm Văn hóa</t>
  </si>
  <si>
    <t>Trung tâm GDTX</t>
  </si>
  <si>
    <t>Ban QLĐTXDCT</t>
  </si>
  <si>
    <t>Phòng CCC</t>
  </si>
  <si>
    <r>
      <rPr>
        <b/>
        <sz val="11"/>
        <rFont val="Times New Roman"/>
        <family val="1"/>
      </rPr>
      <t>ĐVT</t>
    </r>
    <r>
      <rPr>
        <sz val="11"/>
        <rFont val="Times New Roman"/>
        <family val="1"/>
      </rPr>
      <t>: Triệu đồng</t>
    </r>
  </si>
  <si>
    <t>DỰ TOÁN CHI THƯỜNG XUYÊN CỦA NGÂN SÁCH CẤP QUẬN CHO TỪNG CƠ QUAN, TỔ CHỨC THEO LĨNH VỰC NĂM 2018</t>
  </si>
  <si>
    <t>DỰ TOÁN CHI CHƯƠNG TRÌNH MỤC TIÊU QUỐC GIA NGÂN SÁCH CẤP QUẬN NĂM 2018</t>
  </si>
  <si>
    <t>Chương trình mục tiêu quốc gia về việc làm</t>
  </si>
  <si>
    <t>Chương trình mục tiêu quốc gia về dân số kế hoạch hóa GĐ</t>
  </si>
  <si>
    <t>DỰ TOÁN THU, CHI NGÂN SÁCH PHƯỜNG VÀ SỐ BỔ SUNG CÂN ĐỐI TỪ NGÂN SÁCH CẤP TRÊN CHO NGÂN SÁCH CẤP DƯỚI NĂM 2018</t>
  </si>
  <si>
    <t>Thu NSP được hưởng theo phân cấp</t>
  </si>
  <si>
    <t>Thu NSP hưởng 100%</t>
  </si>
  <si>
    <t>Trong đó: Phần NSP được hưởng</t>
  </si>
  <si>
    <t>DỰ TOÁN CHI NGÂN SÁCH ĐỊA PHƯƠNG TỪNG PHƯỜNG NĂM 2018</t>
  </si>
  <si>
    <t>Thu hường thêm</t>
  </si>
  <si>
    <t>Biểu số 41</t>
  </si>
  <si>
    <t>Biểu số 32</t>
  </si>
  <si>
    <t>Biểu số 17</t>
  </si>
  <si>
    <t>ỦY BAN NHÂN DÂN QUẬN 12</t>
  </si>
  <si>
    <t>(Đính kèm theo Tờ trình số         /TTr-UBND-TC ngày      tháng 12 năm 2018 của Ủy ban nhân dân quận)</t>
  </si>
  <si>
    <r>
      <t xml:space="preserve">CÂN ĐỐI NGÂN SÁCH ĐỊA PHƯƠNG NĂM 2018
</t>
    </r>
    <r>
      <rPr>
        <i/>
        <sz val="11"/>
        <color indexed="8"/>
        <rFont val="Times New Roman"/>
        <family val="1"/>
      </rPr>
      <t>(Dự toán trình Hội đồng nhân dân)</t>
    </r>
  </si>
  <si>
    <t>Biểu số 69/CK-NSNN</t>
  </si>
  <si>
    <t>Biểu số 70/CK-NSNN</t>
  </si>
  <si>
    <t>(Dự toán trình Hội đồng nhân dân)</t>
  </si>
  <si>
    <t>Biểu số 71/CK-NSNN</t>
  </si>
  <si>
    <t>Biểu số 72/CK-NSNN</t>
  </si>
  <si>
    <t>Biểu số 73/CK-NSNN</t>
  </si>
  <si>
    <t>Biểu số 74/CK-NSNN</t>
  </si>
  <si>
    <t>Biểu số 76/CK-NSNN</t>
  </si>
  <si>
    <t>Biểu số 77/CK-NSNN</t>
  </si>
  <si>
    <t>Biểu số 79/CK-NSNN</t>
  </si>
  <si>
    <t>PHÒNG TÀI CHÍNH - KẾ HOẠCH</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</si>
</sst>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
    <numFmt numFmtId="177" formatCode="#,###.."/>
  </numFmts>
  <fonts count="49">
    <font>
      <sz val="11"/>
      <color theme="1"/>
      <name val="Calibri"/>
      <family val="2"/>
    </font>
    <font>
      <sz val="11"/>
      <color indexed="8"/>
      <name val="Calibri"/>
      <family val="2"/>
    </font>
    <font>
      <sz val="11"/>
      <color indexed="8"/>
      <name val="Times New Roman"/>
      <family val="1"/>
    </font>
    <font>
      <b/>
      <sz val="11"/>
      <color indexed="8"/>
      <name val="Times New Roman"/>
      <family val="1"/>
    </font>
    <font>
      <b/>
      <sz val="14"/>
      <name val="Times New Roman"/>
      <family val="1"/>
    </font>
    <font>
      <sz val="11"/>
      <name val="Times New Roman"/>
      <family val="1"/>
    </font>
    <font>
      <b/>
      <sz val="11"/>
      <name val="Times New Roman"/>
      <family val="1"/>
    </font>
    <font>
      <i/>
      <sz val="11"/>
      <color indexed="8"/>
      <name val="Times New Roman"/>
      <family val="1"/>
    </font>
    <font>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rgb="FF000000"/>
      <name val="Times New Roman"/>
      <family val="1"/>
    </font>
    <font>
      <sz val="11"/>
      <color rgb="FF000000"/>
      <name val="Times New Roman"/>
      <family val="1"/>
    </font>
    <font>
      <b/>
      <sz val="14"/>
      <color theme="1"/>
      <name val="Times New Roman"/>
      <family val="1"/>
    </font>
    <font>
      <i/>
      <sz val="11"/>
      <color rgb="FF000000"/>
      <name val="Times New Roman"/>
      <family val="1"/>
    </font>
    <font>
      <b/>
      <sz val="11"/>
      <color theme="1"/>
      <name val="Times New Roman"/>
      <family val="1"/>
    </font>
    <font>
      <i/>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7">
    <xf numFmtId="0" fontId="0" fillId="0" borderId="0" xfId="0" applyFont="1" applyAlignment="1">
      <alignment/>
    </xf>
    <xf numFmtId="0" fontId="42" fillId="0" borderId="0" xfId="0" applyFont="1" applyAlignment="1">
      <alignment/>
    </xf>
    <xf numFmtId="0" fontId="43" fillId="0" borderId="10" xfId="0" applyFont="1" applyBorder="1" applyAlignment="1">
      <alignment horizontal="center" vertical="center" wrapText="1"/>
    </xf>
    <xf numFmtId="0" fontId="43" fillId="0" borderId="10" xfId="0" applyFont="1" applyBorder="1" applyAlignment="1">
      <alignment vertical="center" wrapText="1"/>
    </xf>
    <xf numFmtId="0" fontId="44" fillId="0" borderId="10" xfId="0" applyFont="1" applyBorder="1" applyAlignment="1">
      <alignment vertical="center" wrapText="1"/>
    </xf>
    <xf numFmtId="0" fontId="44" fillId="0" borderId="10" xfId="0" applyFont="1" applyBorder="1" applyAlignment="1">
      <alignment horizontal="center" vertical="center" wrapText="1"/>
    </xf>
    <xf numFmtId="0" fontId="42" fillId="0" borderId="0" xfId="0" applyFont="1" applyAlignment="1">
      <alignment vertical="center"/>
    </xf>
    <xf numFmtId="0" fontId="45" fillId="0" borderId="0" xfId="0" applyFont="1" applyAlignment="1">
      <alignment horizontal="center" vertical="center"/>
    </xf>
    <xf numFmtId="0" fontId="42" fillId="0" borderId="0" xfId="0" applyFont="1" applyAlignment="1">
      <alignment horizontal="right" vertical="center"/>
    </xf>
    <xf numFmtId="3" fontId="44" fillId="0" borderId="10" xfId="0" applyNumberFormat="1" applyFont="1" applyBorder="1" applyAlignment="1">
      <alignment vertical="center" wrapText="1"/>
    </xf>
    <xf numFmtId="10" fontId="44" fillId="0" borderId="10" xfId="0" applyNumberFormat="1" applyFont="1" applyBorder="1" applyAlignment="1">
      <alignment vertical="center" wrapText="1"/>
    </xf>
    <xf numFmtId="3" fontId="43" fillId="0" borderId="10" xfId="0" applyNumberFormat="1" applyFont="1" applyBorder="1" applyAlignment="1">
      <alignment vertical="center" wrapText="1"/>
    </xf>
    <xf numFmtId="10" fontId="43" fillId="0" borderId="10" xfId="0" applyNumberFormat="1" applyFont="1" applyBorder="1" applyAlignment="1">
      <alignment vertical="center" wrapText="1"/>
    </xf>
    <xf numFmtId="0" fontId="46" fillId="0" borderId="10" xfId="0" applyFont="1" applyBorder="1" applyAlignment="1">
      <alignment horizontal="center" vertical="center" wrapText="1"/>
    </xf>
    <xf numFmtId="0" fontId="46" fillId="0" borderId="10" xfId="0" applyFont="1" applyBorder="1" applyAlignment="1">
      <alignment vertical="center" wrapText="1"/>
    </xf>
    <xf numFmtId="0" fontId="44" fillId="0" borderId="11" xfId="0" applyFont="1" applyBorder="1" applyAlignment="1">
      <alignment vertical="center" wrapText="1"/>
    </xf>
    <xf numFmtId="3" fontId="43" fillId="0" borderId="10" xfId="0" applyNumberFormat="1" applyFont="1" applyBorder="1" applyAlignment="1">
      <alignment horizontal="center" vertical="center" wrapText="1"/>
    </xf>
    <xf numFmtId="3" fontId="44" fillId="0" borderId="10" xfId="0" applyNumberFormat="1" applyFont="1" applyBorder="1" applyAlignment="1">
      <alignment horizontal="center" vertical="center" wrapText="1"/>
    </xf>
    <xf numFmtId="3" fontId="46" fillId="0" borderId="10" xfId="0" applyNumberFormat="1" applyFont="1" applyBorder="1" applyAlignment="1">
      <alignment horizontal="center" vertical="center" wrapText="1"/>
    </xf>
    <xf numFmtId="0" fontId="47" fillId="0" borderId="0" xfId="0" applyFont="1" applyAlignment="1">
      <alignment horizontal="center" vertical="center"/>
    </xf>
    <xf numFmtId="10" fontId="43" fillId="0" borderId="10" xfId="0" applyNumberFormat="1" applyFont="1" applyBorder="1" applyAlignment="1">
      <alignment horizontal="center" vertical="center" wrapText="1"/>
    </xf>
    <xf numFmtId="10" fontId="44" fillId="0" borderId="10" xfId="0" applyNumberFormat="1" applyFont="1" applyBorder="1" applyAlignment="1">
      <alignment horizontal="center" vertical="center" wrapText="1"/>
    </xf>
    <xf numFmtId="0" fontId="45" fillId="0" borderId="0" xfId="0" applyFont="1" applyAlignment="1">
      <alignment horizontal="center" vertical="center" wrapText="1"/>
    </xf>
    <xf numFmtId="0" fontId="42" fillId="0" borderId="10" xfId="0" applyFont="1" applyBorder="1" applyAlignment="1">
      <alignment vertical="center" wrapText="1"/>
    </xf>
    <xf numFmtId="176" fontId="44" fillId="0" borderId="10" xfId="0" applyNumberFormat="1" applyFont="1" applyBorder="1" applyAlignment="1">
      <alignment horizontal="center" vertical="center" wrapText="1"/>
    </xf>
    <xf numFmtId="176" fontId="43" fillId="0" borderId="10" xfId="0" applyNumberFormat="1"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right" vertical="center"/>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176" fontId="6"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176" fontId="5" fillId="0" borderId="10" xfId="0" applyNumberFormat="1" applyFont="1" applyBorder="1" applyAlignment="1">
      <alignment horizontal="center" vertical="center" wrapText="1"/>
    </xf>
    <xf numFmtId="176" fontId="5" fillId="0" borderId="0" xfId="0" applyNumberFormat="1" applyFont="1" applyAlignment="1">
      <alignment vertical="center"/>
    </xf>
    <xf numFmtId="3" fontId="42" fillId="0" borderId="0" xfId="0" applyNumberFormat="1" applyFont="1" applyAlignment="1">
      <alignment vertical="center"/>
    </xf>
    <xf numFmtId="10" fontId="46" fillId="0" borderId="10" xfId="0" applyNumberFormat="1" applyFont="1" applyBorder="1" applyAlignment="1">
      <alignment horizontal="center" vertical="center" wrapText="1"/>
    </xf>
    <xf numFmtId="0" fontId="6" fillId="0" borderId="10" xfId="0" applyFont="1" applyBorder="1" applyAlignment="1">
      <alignment vertical="center"/>
    </xf>
    <xf numFmtId="176" fontId="6" fillId="0" borderId="10" xfId="0" applyNumberFormat="1" applyFont="1" applyBorder="1" applyAlignment="1">
      <alignment vertical="center" wrapText="1"/>
    </xf>
    <xf numFmtId="176" fontId="5" fillId="0" borderId="10" xfId="0" applyNumberFormat="1" applyFont="1" applyBorder="1" applyAlignment="1">
      <alignment vertical="center" wrapText="1"/>
    </xf>
    <xf numFmtId="176" fontId="5" fillId="0" borderId="10" xfId="0" applyNumberFormat="1" applyFont="1" applyBorder="1" applyAlignment="1">
      <alignment vertical="center"/>
    </xf>
    <xf numFmtId="0" fontId="5" fillId="0" borderId="10" xfId="0" applyFont="1" applyBorder="1" applyAlignment="1">
      <alignment vertical="center"/>
    </xf>
    <xf numFmtId="0" fontId="47" fillId="0" borderId="0" xfId="0" applyFont="1" applyAlignment="1">
      <alignment horizontal="center" vertical="center"/>
    </xf>
    <xf numFmtId="0" fontId="6" fillId="0" borderId="0" xfId="0" applyFont="1" applyAlignment="1">
      <alignment horizontal="center" vertical="center"/>
    </xf>
    <xf numFmtId="0" fontId="47" fillId="0" borderId="0" xfId="0" applyFont="1" applyAlignment="1">
      <alignment horizontal="right" vertical="center"/>
    </xf>
    <xf numFmtId="0" fontId="5" fillId="0" borderId="0" xfId="0" applyFont="1" applyAlignment="1">
      <alignment horizontal="center" vertical="center"/>
    </xf>
    <xf numFmtId="0" fontId="42"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center" vertical="center"/>
    </xf>
    <xf numFmtId="0" fontId="43" fillId="0" borderId="10" xfId="0" applyFont="1" applyBorder="1" applyAlignment="1">
      <alignment horizontal="center" vertical="center" wrapText="1"/>
    </xf>
    <xf numFmtId="0" fontId="47" fillId="0" borderId="0" xfId="0" applyFont="1" applyAlignment="1">
      <alignment horizontal="right" vertical="center"/>
    </xf>
    <xf numFmtId="0" fontId="47" fillId="0" borderId="0" xfId="0" applyFont="1" applyAlignment="1">
      <alignment horizontal="center" vertical="center"/>
    </xf>
    <xf numFmtId="0" fontId="48" fillId="0" borderId="0" xfId="0" applyFont="1" applyAlignment="1">
      <alignment horizontal="center" vertical="center"/>
    </xf>
    <xf numFmtId="0" fontId="48" fillId="0" borderId="0" xfId="0" applyFont="1" applyAlignment="1">
      <alignment horizontal="center" vertical="center" wrapText="1"/>
    </xf>
    <xf numFmtId="0" fontId="43" fillId="0" borderId="12" xfId="0" applyFont="1" applyBorder="1" applyAlignment="1">
      <alignment horizontal="center" vertical="center" wrapText="1"/>
    </xf>
    <xf numFmtId="0" fontId="43" fillId="0" borderId="13" xfId="0" applyFont="1" applyBorder="1" applyAlignment="1">
      <alignment horizontal="center" vertical="center" wrapText="1"/>
    </xf>
    <xf numFmtId="0" fontId="5" fillId="0" borderId="0" xfId="0" applyFont="1" applyAlignment="1">
      <alignment horizontal="center" vertical="center"/>
    </xf>
    <xf numFmtId="0" fontId="6" fillId="0" borderId="10" xfId="0" applyFont="1" applyBorder="1" applyAlignment="1">
      <alignment horizontal="center" vertical="center" wrapText="1"/>
    </xf>
    <xf numFmtId="0" fontId="6" fillId="0" borderId="0" xfId="0" applyFont="1" applyAlignment="1">
      <alignment horizontal="center" vertical="center"/>
    </xf>
    <xf numFmtId="0" fontId="8" fillId="0" borderId="0" xfId="0" applyFont="1" applyAlignment="1">
      <alignment horizontal="center" vertical="center" wrapText="1"/>
    </xf>
    <xf numFmtId="0" fontId="4" fillId="0" borderId="0" xfId="0" applyFont="1" applyAlignment="1">
      <alignment horizontal="center" vertical="center" wrapText="1"/>
    </xf>
    <xf numFmtId="0" fontId="8" fillId="0" borderId="0" xfId="0" applyFont="1" applyAlignment="1">
      <alignment horizontal="center" vertical="top" wrapText="1"/>
    </xf>
    <xf numFmtId="0" fontId="42" fillId="0" borderId="0" xfId="0" applyFont="1" applyAlignment="1">
      <alignment horizontal="center" vertical="center" wrapText="1"/>
    </xf>
    <xf numFmtId="0" fontId="47" fillId="0" borderId="0" xfId="0" applyFont="1" applyAlignment="1">
      <alignment horizontal="center"/>
    </xf>
    <xf numFmtId="0" fontId="48" fillId="0" borderId="0" xfId="0" applyFont="1" applyAlignment="1">
      <alignment horizontal="center"/>
    </xf>
    <xf numFmtId="0" fontId="45"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C1"/>
    </sheetView>
  </sheetViews>
  <sheetFormatPr defaultColWidth="9.140625" defaultRowHeight="15"/>
  <cols>
    <col min="1" max="1" width="5.28125" style="6" customWidth="1"/>
    <col min="2" max="2" width="23.57421875" style="6" customWidth="1"/>
    <col min="3" max="5" width="16.7109375" style="6" customWidth="1"/>
    <col min="6" max="16384" width="9.140625" style="6" customWidth="1"/>
  </cols>
  <sheetData>
    <row r="1" spans="1:7" ht="15">
      <c r="A1" s="47" t="s">
        <v>375</v>
      </c>
      <c r="B1" s="47"/>
      <c r="C1" s="47"/>
      <c r="E1" s="51" t="s">
        <v>378</v>
      </c>
      <c r="F1" s="51"/>
      <c r="G1" s="51"/>
    </row>
    <row r="2" spans="1:3" ht="15">
      <c r="A2" s="52" t="s">
        <v>388</v>
      </c>
      <c r="B2" s="52"/>
      <c r="C2" s="52"/>
    </row>
    <row r="4" spans="1:7" ht="38.25" customHeight="1">
      <c r="A4" s="48" t="s">
        <v>377</v>
      </c>
      <c r="B4" s="49"/>
      <c r="C4" s="49"/>
      <c r="D4" s="49"/>
      <c r="E4" s="49"/>
      <c r="F4" s="49"/>
      <c r="G4" s="49"/>
    </row>
    <row r="5" spans="1:7" ht="15">
      <c r="A5" s="19"/>
      <c r="B5" s="19"/>
      <c r="C5" s="19"/>
      <c r="D5" s="19"/>
      <c r="E5" s="19"/>
      <c r="F5" s="19"/>
      <c r="G5" s="19"/>
    </row>
    <row r="6" spans="6:7" ht="15">
      <c r="F6" s="8"/>
      <c r="G6" s="8" t="s">
        <v>192</v>
      </c>
    </row>
    <row r="7" spans="1:7" ht="15">
      <c r="A7" s="50" t="s">
        <v>0</v>
      </c>
      <c r="B7" s="50" t="s">
        <v>1</v>
      </c>
      <c r="C7" s="50" t="s">
        <v>211</v>
      </c>
      <c r="D7" s="50" t="s">
        <v>195</v>
      </c>
      <c r="E7" s="50" t="s">
        <v>191</v>
      </c>
      <c r="F7" s="50" t="s">
        <v>75</v>
      </c>
      <c r="G7" s="50"/>
    </row>
    <row r="8" spans="1:7" ht="28.5">
      <c r="A8" s="50"/>
      <c r="B8" s="50"/>
      <c r="C8" s="50"/>
      <c r="D8" s="50"/>
      <c r="E8" s="50"/>
      <c r="F8" s="2" t="s">
        <v>3</v>
      </c>
      <c r="G8" s="2" t="s">
        <v>4</v>
      </c>
    </row>
    <row r="9" spans="1:7" ht="15">
      <c r="A9" s="2" t="s">
        <v>5</v>
      </c>
      <c r="B9" s="2" t="s">
        <v>6</v>
      </c>
      <c r="C9" s="2">
        <v>1</v>
      </c>
      <c r="D9" s="2">
        <v>2</v>
      </c>
      <c r="E9" s="2">
        <v>3</v>
      </c>
      <c r="F9" s="2">
        <v>4</v>
      </c>
      <c r="G9" s="2">
        <v>5</v>
      </c>
    </row>
    <row r="10" spans="1:7" ht="28.5">
      <c r="A10" s="2" t="s">
        <v>5</v>
      </c>
      <c r="B10" s="3" t="s">
        <v>7</v>
      </c>
      <c r="C10" s="11">
        <f>C11+C14+C17+C18+C19+C20</f>
        <v>868793</v>
      </c>
      <c r="D10" s="11">
        <f>D11+D14+D17+D18+D19+D20</f>
        <v>1263126</v>
      </c>
      <c r="E10" s="11">
        <f>E11+E14+E17+E18+E19+E20</f>
        <v>977502</v>
      </c>
      <c r="F10" s="11">
        <f>F11+F14+F17+F18+F19+F20</f>
        <v>108709</v>
      </c>
      <c r="G10" s="12">
        <f aca="true" t="shared" si="0" ref="G10:G15">E10/C10</f>
        <v>1.125126468560405</v>
      </c>
    </row>
    <row r="11" spans="1:7" ht="28.5">
      <c r="A11" s="2" t="s">
        <v>8</v>
      </c>
      <c r="B11" s="3" t="s">
        <v>9</v>
      </c>
      <c r="C11" s="11">
        <f>SUM(C12:C13)</f>
        <v>227066</v>
      </c>
      <c r="D11" s="11">
        <f>SUM(D12:D13)</f>
        <v>267134</v>
      </c>
      <c r="E11" s="11">
        <f>SUM(E12:E13)</f>
        <v>270175</v>
      </c>
      <c r="F11" s="11">
        <f>SUM(F12:F13)</f>
        <v>43109</v>
      </c>
      <c r="G11" s="12">
        <f t="shared" si="0"/>
        <v>1.1898522896426589</v>
      </c>
    </row>
    <row r="12" spans="1:7" ht="15">
      <c r="A12" s="5" t="s">
        <v>10</v>
      </c>
      <c r="B12" s="4" t="s">
        <v>11</v>
      </c>
      <c r="C12" s="9">
        <f>25500+27925+6100+3500+11005</f>
        <v>74030</v>
      </c>
      <c r="D12" s="9">
        <f>30758+54299+8000+7000+20513+1180</f>
        <v>121750</v>
      </c>
      <c r="E12" s="9">
        <f>29499+41250+11800+6125+11005</f>
        <v>99679</v>
      </c>
      <c r="F12" s="9">
        <f>E12-C12</f>
        <v>25649</v>
      </c>
      <c r="G12" s="10">
        <f t="shared" si="0"/>
        <v>1.3464676482507092</v>
      </c>
    </row>
    <row r="13" spans="1:7" ht="30">
      <c r="A13" s="5" t="s">
        <v>10</v>
      </c>
      <c r="B13" s="4" t="s">
        <v>12</v>
      </c>
      <c r="C13" s="9">
        <f>112590+40446</f>
        <v>153036</v>
      </c>
      <c r="D13" s="9">
        <f>106961+38423</f>
        <v>145384</v>
      </c>
      <c r="E13" s="9">
        <f>124164+46332</f>
        <v>170496</v>
      </c>
      <c r="F13" s="9">
        <f>E13-C13</f>
        <v>17460</v>
      </c>
      <c r="G13" s="10">
        <f t="shared" si="0"/>
        <v>1.1140908021641966</v>
      </c>
    </row>
    <row r="14" spans="1:7" ht="28.5">
      <c r="A14" s="2" t="s">
        <v>13</v>
      </c>
      <c r="B14" s="3" t="s">
        <v>14</v>
      </c>
      <c r="C14" s="11">
        <f>SUM(C15:C16)</f>
        <v>641727</v>
      </c>
      <c r="D14" s="11">
        <f>SUM(D15:D16)</f>
        <v>697917</v>
      </c>
      <c r="E14" s="11">
        <f>SUM(E15:E16)</f>
        <v>699031</v>
      </c>
      <c r="F14" s="11">
        <f>SUM(F15:F16)</f>
        <v>57304</v>
      </c>
      <c r="G14" s="12">
        <f t="shared" si="0"/>
        <v>1.0892965388708906</v>
      </c>
    </row>
    <row r="15" spans="1:7" ht="30">
      <c r="A15" s="5">
        <v>1</v>
      </c>
      <c r="B15" s="4" t="s">
        <v>15</v>
      </c>
      <c r="C15" s="9">
        <v>641727</v>
      </c>
      <c r="D15" s="9">
        <v>641727</v>
      </c>
      <c r="E15" s="9">
        <v>641727</v>
      </c>
      <c r="F15" s="9"/>
      <c r="G15" s="10">
        <f t="shared" si="0"/>
        <v>1</v>
      </c>
    </row>
    <row r="16" spans="1:7" ht="15">
      <c r="A16" s="5">
        <v>2</v>
      </c>
      <c r="B16" s="4" t="s">
        <v>16</v>
      </c>
      <c r="C16" s="9"/>
      <c r="D16" s="9">
        <v>56190</v>
      </c>
      <c r="E16" s="9">
        <v>57304</v>
      </c>
      <c r="F16" s="9">
        <f>E16-C16</f>
        <v>57304</v>
      </c>
      <c r="G16" s="10"/>
    </row>
    <row r="17" spans="1:7" ht="28.5">
      <c r="A17" s="2" t="s">
        <v>17</v>
      </c>
      <c r="B17" s="3" t="s">
        <v>18</v>
      </c>
      <c r="C17" s="11"/>
      <c r="D17" s="11"/>
      <c r="E17" s="11"/>
      <c r="F17" s="9"/>
      <c r="G17" s="10"/>
    </row>
    <row r="18" spans="1:7" ht="15">
      <c r="A18" s="2" t="s">
        <v>19</v>
      </c>
      <c r="B18" s="3" t="s">
        <v>20</v>
      </c>
      <c r="C18" s="11"/>
      <c r="D18" s="11">
        <v>206120</v>
      </c>
      <c r="E18" s="11"/>
      <c r="F18" s="9"/>
      <c r="G18" s="10"/>
    </row>
    <row r="19" spans="1:7" ht="28.5">
      <c r="A19" s="2" t="s">
        <v>21</v>
      </c>
      <c r="B19" s="3" t="s">
        <v>22</v>
      </c>
      <c r="C19" s="11"/>
      <c r="D19" s="11">
        <v>91955</v>
      </c>
      <c r="E19" s="11"/>
      <c r="F19" s="9"/>
      <c r="G19" s="10"/>
    </row>
    <row r="20" spans="1:7" ht="28.5">
      <c r="A20" s="2" t="s">
        <v>90</v>
      </c>
      <c r="B20" s="3" t="s">
        <v>193</v>
      </c>
      <c r="C20" s="11"/>
      <c r="D20" s="11"/>
      <c r="E20" s="11">
        <v>8296</v>
      </c>
      <c r="F20" s="9">
        <f>E20-C20</f>
        <v>8296</v>
      </c>
      <c r="G20" s="10"/>
    </row>
    <row r="21" spans="1:7" ht="15">
      <c r="A21" s="2" t="s">
        <v>6</v>
      </c>
      <c r="B21" s="3" t="s">
        <v>23</v>
      </c>
      <c r="C21" s="11">
        <f>C22+C29+C32</f>
        <v>868793</v>
      </c>
      <c r="D21" s="11">
        <f>D22+D29+D32</f>
        <v>1088153</v>
      </c>
      <c r="E21" s="11">
        <f>E22+E29+E32</f>
        <v>977502</v>
      </c>
      <c r="F21" s="11">
        <f>F22+F29+F32</f>
        <v>108709</v>
      </c>
      <c r="G21" s="12">
        <f>E21/C21</f>
        <v>1.125126468560405</v>
      </c>
    </row>
    <row r="22" spans="1:7" ht="15">
      <c r="A22" s="2" t="s">
        <v>8</v>
      </c>
      <c r="B22" s="3" t="s">
        <v>24</v>
      </c>
      <c r="C22" s="11">
        <f>SUM(C23:C28)</f>
        <v>865927</v>
      </c>
      <c r="D22" s="11">
        <f>SUM(D23:D28)</f>
        <v>1085431</v>
      </c>
      <c r="E22" s="11">
        <f>SUM(E23:E28)</f>
        <v>974014</v>
      </c>
      <c r="F22" s="11">
        <f>SUM(F23:F28)</f>
        <v>108087</v>
      </c>
      <c r="G22" s="12">
        <f>E22/C22</f>
        <v>1.124822300263186</v>
      </c>
    </row>
    <row r="23" spans="1:7" ht="15">
      <c r="A23" s="5">
        <v>1</v>
      </c>
      <c r="B23" s="4" t="s">
        <v>143</v>
      </c>
      <c r="C23" s="9"/>
      <c r="D23" s="9"/>
      <c r="E23" s="9"/>
      <c r="F23" s="9"/>
      <c r="G23" s="10"/>
    </row>
    <row r="24" spans="1:7" ht="15">
      <c r="A24" s="5">
        <v>2</v>
      </c>
      <c r="B24" s="4" t="s">
        <v>25</v>
      </c>
      <c r="C24" s="9">
        <v>840550</v>
      </c>
      <c r="D24" s="9">
        <v>1085431</v>
      </c>
      <c r="E24" s="9">
        <v>947741</v>
      </c>
      <c r="F24" s="9">
        <f>E24-C24</f>
        <v>107191</v>
      </c>
      <c r="G24" s="10">
        <f>E24/C24</f>
        <v>1.1275248349295104</v>
      </c>
    </row>
    <row r="25" spans="1:7" ht="45">
      <c r="A25" s="5">
        <v>3</v>
      </c>
      <c r="B25" s="4" t="s">
        <v>196</v>
      </c>
      <c r="C25" s="9"/>
      <c r="D25" s="9"/>
      <c r="E25" s="9"/>
      <c r="F25" s="9"/>
      <c r="G25" s="10"/>
    </row>
    <row r="26" spans="1:7" ht="30">
      <c r="A26" s="5">
        <v>4</v>
      </c>
      <c r="B26" s="4" t="s">
        <v>179</v>
      </c>
      <c r="C26" s="9"/>
      <c r="D26" s="9"/>
      <c r="E26" s="9"/>
      <c r="F26" s="9"/>
      <c r="G26" s="10"/>
    </row>
    <row r="27" spans="1:7" ht="15">
      <c r="A27" s="5">
        <v>5</v>
      </c>
      <c r="B27" s="4" t="s">
        <v>28</v>
      </c>
      <c r="C27" s="9">
        <v>25377</v>
      </c>
      <c r="D27" s="9"/>
      <c r="E27" s="9">
        <v>26273</v>
      </c>
      <c r="F27" s="9">
        <f>E27-C27</f>
        <v>896</v>
      </c>
      <c r="G27" s="10">
        <f>E27/C27</f>
        <v>1.0353075619655594</v>
      </c>
    </row>
    <row r="28" spans="1:7" ht="30">
      <c r="A28" s="5">
        <v>6</v>
      </c>
      <c r="B28" s="4" t="s">
        <v>29</v>
      </c>
      <c r="C28" s="9"/>
      <c r="D28" s="9"/>
      <c r="E28" s="9"/>
      <c r="F28" s="9"/>
      <c r="G28" s="10"/>
    </row>
    <row r="29" spans="1:7" ht="28.5">
      <c r="A29" s="2" t="s">
        <v>13</v>
      </c>
      <c r="B29" s="3" t="s">
        <v>30</v>
      </c>
      <c r="C29" s="11">
        <f>SUM(C30:C31)</f>
        <v>2866</v>
      </c>
      <c r="D29" s="11">
        <f>SUM(D30:D31)</f>
        <v>2722</v>
      </c>
      <c r="E29" s="11">
        <f>SUM(E30:E31)</f>
        <v>3488</v>
      </c>
      <c r="F29" s="11">
        <f>SUM(F30:F31)</f>
        <v>622</v>
      </c>
      <c r="G29" s="12">
        <f>E29/C29</f>
        <v>1.2170272156315423</v>
      </c>
    </row>
    <row r="30" spans="1:7" ht="30">
      <c r="A30" s="5">
        <v>1</v>
      </c>
      <c r="B30" s="4" t="s">
        <v>31</v>
      </c>
      <c r="C30" s="9">
        <v>1966</v>
      </c>
      <c r="D30" s="9">
        <v>1867</v>
      </c>
      <c r="E30" s="9">
        <v>2971</v>
      </c>
      <c r="F30" s="9">
        <f>E30-C30</f>
        <v>1005</v>
      </c>
      <c r="G30" s="10">
        <f>E30/C30</f>
        <v>1.5111902339776195</v>
      </c>
    </row>
    <row r="31" spans="1:7" ht="30">
      <c r="A31" s="5">
        <v>2</v>
      </c>
      <c r="B31" s="4" t="s">
        <v>32</v>
      </c>
      <c r="C31" s="9">
        <v>900</v>
      </c>
      <c r="D31" s="9">
        <v>855</v>
      </c>
      <c r="E31" s="9">
        <v>517</v>
      </c>
      <c r="F31" s="9">
        <f>E31-C31</f>
        <v>-383</v>
      </c>
      <c r="G31" s="10">
        <f>E31/C31</f>
        <v>0.5744444444444444</v>
      </c>
    </row>
    <row r="32" spans="1:7" ht="28.5">
      <c r="A32" s="2" t="s">
        <v>17</v>
      </c>
      <c r="B32" s="3" t="s">
        <v>33</v>
      </c>
      <c r="C32" s="11"/>
      <c r="D32" s="11"/>
      <c r="E32" s="11"/>
      <c r="F32" s="11"/>
      <c r="G32" s="12"/>
    </row>
    <row r="33" spans="1:7" ht="28.5">
      <c r="A33" s="2" t="s">
        <v>34</v>
      </c>
      <c r="B33" s="3" t="s">
        <v>197</v>
      </c>
      <c r="C33" s="11"/>
      <c r="D33" s="11"/>
      <c r="E33" s="11"/>
      <c r="F33" s="11"/>
      <c r="G33" s="12"/>
    </row>
    <row r="34" spans="1:7" ht="28.5">
      <c r="A34" s="2" t="s">
        <v>35</v>
      </c>
      <c r="B34" s="3" t="s">
        <v>198</v>
      </c>
      <c r="C34" s="11"/>
      <c r="D34" s="11"/>
      <c r="E34" s="11"/>
      <c r="F34" s="11"/>
      <c r="G34" s="12"/>
    </row>
    <row r="35" spans="1:7" ht="28.5">
      <c r="A35" s="2" t="s">
        <v>8</v>
      </c>
      <c r="B35" s="3" t="s">
        <v>36</v>
      </c>
      <c r="C35" s="11"/>
      <c r="D35" s="11"/>
      <c r="E35" s="11"/>
      <c r="F35" s="11"/>
      <c r="G35" s="12"/>
    </row>
    <row r="36" spans="1:7" ht="42.75">
      <c r="A36" s="2" t="s">
        <v>13</v>
      </c>
      <c r="B36" s="3" t="s">
        <v>37</v>
      </c>
      <c r="C36" s="11"/>
      <c r="D36" s="11"/>
      <c r="E36" s="11"/>
      <c r="F36" s="11"/>
      <c r="G36" s="12"/>
    </row>
    <row r="37" spans="1:7" ht="28.5">
      <c r="A37" s="2" t="s">
        <v>38</v>
      </c>
      <c r="B37" s="3" t="s">
        <v>199</v>
      </c>
      <c r="C37" s="11"/>
      <c r="D37" s="11"/>
      <c r="E37" s="11"/>
      <c r="F37" s="11"/>
      <c r="G37" s="12"/>
    </row>
    <row r="38" spans="1:7" ht="15">
      <c r="A38" s="2" t="s">
        <v>8</v>
      </c>
      <c r="B38" s="3" t="s">
        <v>39</v>
      </c>
      <c r="C38" s="11"/>
      <c r="D38" s="11"/>
      <c r="E38" s="11"/>
      <c r="F38" s="11"/>
      <c r="G38" s="12"/>
    </row>
    <row r="39" spans="1:7" ht="15">
      <c r="A39" s="2" t="s">
        <v>13</v>
      </c>
      <c r="B39" s="3" t="s">
        <v>40</v>
      </c>
      <c r="C39" s="11"/>
      <c r="D39" s="11"/>
      <c r="E39" s="11"/>
      <c r="F39" s="11"/>
      <c r="G39" s="12"/>
    </row>
  </sheetData>
  <sheetProtection/>
  <mergeCells count="10">
    <mergeCell ref="A1:C1"/>
    <mergeCell ref="A4:G4"/>
    <mergeCell ref="A7:A8"/>
    <mergeCell ref="B7:B8"/>
    <mergeCell ref="C7:C8"/>
    <mergeCell ref="D7:D8"/>
    <mergeCell ref="E7:E8"/>
    <mergeCell ref="F7:G7"/>
    <mergeCell ref="E1:G1"/>
    <mergeCell ref="A2:C2"/>
  </mergeCells>
  <printOptions/>
  <pageMargins left="0.15748031496062992" right="0.15748031496062992" top="0.2362204724409449" bottom="0.2362204724409449" header="0.15748031496062992" footer="0.1574803149606299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13"/>
  <sheetViews>
    <sheetView zoomScalePageLayoutView="0" workbookViewId="0" topLeftCell="A1">
      <selection activeCell="A1" sqref="A1:C1"/>
    </sheetView>
  </sheetViews>
  <sheetFormatPr defaultColWidth="9.140625" defaultRowHeight="15"/>
  <cols>
    <col min="1" max="1" width="6.28125" style="6" customWidth="1"/>
    <col min="2" max="2" width="22.57421875" style="6" customWidth="1"/>
    <col min="3" max="10" width="9.140625" style="6" customWidth="1"/>
    <col min="11" max="11" width="9.28125" style="6" customWidth="1"/>
    <col min="12" max="16384" width="9.140625" style="6" customWidth="1"/>
  </cols>
  <sheetData>
    <row r="1" spans="1:19" ht="15">
      <c r="A1" s="47" t="s">
        <v>375</v>
      </c>
      <c r="B1" s="47"/>
      <c r="C1" s="47"/>
      <c r="Q1" s="52" t="s">
        <v>387</v>
      </c>
      <c r="R1" s="52"/>
      <c r="S1" s="52"/>
    </row>
    <row r="2" spans="1:19" ht="15">
      <c r="A2" s="52" t="s">
        <v>388</v>
      </c>
      <c r="B2" s="52"/>
      <c r="C2" s="52"/>
      <c r="Q2" s="43"/>
      <c r="R2" s="43"/>
      <c r="S2" s="43"/>
    </row>
    <row r="4" spans="1:19" ht="18.75">
      <c r="A4" s="48" t="s">
        <v>363</v>
      </c>
      <c r="B4" s="48"/>
      <c r="C4" s="48"/>
      <c r="D4" s="48"/>
      <c r="E4" s="48"/>
      <c r="F4" s="48"/>
      <c r="G4" s="48"/>
      <c r="H4" s="48"/>
      <c r="I4" s="48"/>
      <c r="J4" s="48"/>
      <c r="K4" s="48"/>
      <c r="L4" s="48"/>
      <c r="M4" s="48"/>
      <c r="N4" s="48"/>
      <c r="O4" s="48"/>
      <c r="P4" s="48"/>
      <c r="Q4" s="48"/>
      <c r="R4" s="48"/>
      <c r="S4" s="48"/>
    </row>
    <row r="5" spans="1:19" ht="15">
      <c r="A5" s="54" t="s">
        <v>380</v>
      </c>
      <c r="B5" s="54"/>
      <c r="C5" s="54"/>
      <c r="D5" s="54"/>
      <c r="E5" s="54"/>
      <c r="F5" s="54"/>
      <c r="G5" s="54"/>
      <c r="H5" s="54"/>
      <c r="I5" s="54"/>
      <c r="J5" s="54"/>
      <c r="K5" s="54"/>
      <c r="L5" s="54"/>
      <c r="M5" s="54"/>
      <c r="N5" s="54"/>
      <c r="O5" s="54"/>
      <c r="P5" s="54"/>
      <c r="Q5" s="54"/>
      <c r="R5" s="54"/>
      <c r="S5" s="54"/>
    </row>
    <row r="6" ht="15">
      <c r="S6" s="28" t="s">
        <v>361</v>
      </c>
    </row>
    <row r="7" spans="1:19" ht="15">
      <c r="A7" s="50" t="s">
        <v>0</v>
      </c>
      <c r="B7" s="50" t="s">
        <v>155</v>
      </c>
      <c r="C7" s="50" t="s">
        <v>139</v>
      </c>
      <c r="D7" s="50" t="s">
        <v>152</v>
      </c>
      <c r="E7" s="50"/>
      <c r="F7" s="50" t="s">
        <v>365</v>
      </c>
      <c r="G7" s="50"/>
      <c r="H7" s="50"/>
      <c r="I7" s="50"/>
      <c r="J7" s="50"/>
      <c r="K7" s="50"/>
      <c r="L7" s="50"/>
      <c r="M7" s="50" t="s">
        <v>364</v>
      </c>
      <c r="N7" s="50"/>
      <c r="O7" s="50"/>
      <c r="P7" s="50"/>
      <c r="Q7" s="50"/>
      <c r="R7" s="50"/>
      <c r="S7" s="50"/>
    </row>
    <row r="8" spans="1:19" ht="15">
      <c r="A8" s="50"/>
      <c r="B8" s="50"/>
      <c r="C8" s="50"/>
      <c r="D8" s="50" t="s">
        <v>156</v>
      </c>
      <c r="E8" s="50" t="s">
        <v>157</v>
      </c>
      <c r="F8" s="50" t="s">
        <v>139</v>
      </c>
      <c r="G8" s="50" t="s">
        <v>156</v>
      </c>
      <c r="H8" s="50"/>
      <c r="I8" s="50"/>
      <c r="J8" s="50" t="s">
        <v>157</v>
      </c>
      <c r="K8" s="50"/>
      <c r="L8" s="50"/>
      <c r="M8" s="50" t="s">
        <v>139</v>
      </c>
      <c r="N8" s="50" t="s">
        <v>156</v>
      </c>
      <c r="O8" s="50"/>
      <c r="P8" s="50"/>
      <c r="Q8" s="50" t="s">
        <v>157</v>
      </c>
      <c r="R8" s="50"/>
      <c r="S8" s="50"/>
    </row>
    <row r="9" spans="1:19" ht="42.75">
      <c r="A9" s="50"/>
      <c r="B9" s="50"/>
      <c r="C9" s="50"/>
      <c r="D9" s="50"/>
      <c r="E9" s="50"/>
      <c r="F9" s="50"/>
      <c r="G9" s="2" t="s">
        <v>139</v>
      </c>
      <c r="H9" s="2" t="s">
        <v>158</v>
      </c>
      <c r="I9" s="2" t="s">
        <v>159</v>
      </c>
      <c r="J9" s="2" t="s">
        <v>139</v>
      </c>
      <c r="K9" s="2" t="s">
        <v>158</v>
      </c>
      <c r="L9" s="2" t="s">
        <v>159</v>
      </c>
      <c r="M9" s="50"/>
      <c r="N9" s="2" t="s">
        <v>139</v>
      </c>
      <c r="O9" s="2" t="s">
        <v>158</v>
      </c>
      <c r="P9" s="2" t="s">
        <v>159</v>
      </c>
      <c r="Q9" s="2" t="s">
        <v>139</v>
      </c>
      <c r="R9" s="2" t="s">
        <v>158</v>
      </c>
      <c r="S9" s="2" t="s">
        <v>159</v>
      </c>
    </row>
    <row r="10" spans="1:19" ht="28.5">
      <c r="A10" s="2" t="s">
        <v>5</v>
      </c>
      <c r="B10" s="2" t="s">
        <v>6</v>
      </c>
      <c r="C10" s="2" t="s">
        <v>160</v>
      </c>
      <c r="D10" s="2" t="s">
        <v>161</v>
      </c>
      <c r="E10" s="2" t="s">
        <v>162</v>
      </c>
      <c r="F10" s="2" t="s">
        <v>163</v>
      </c>
      <c r="G10" s="2" t="s">
        <v>164</v>
      </c>
      <c r="H10" s="2">
        <v>6</v>
      </c>
      <c r="I10" s="2">
        <v>7</v>
      </c>
      <c r="J10" s="2" t="s">
        <v>165</v>
      </c>
      <c r="K10" s="2">
        <v>9</v>
      </c>
      <c r="L10" s="2">
        <v>10</v>
      </c>
      <c r="M10" s="2" t="s">
        <v>166</v>
      </c>
      <c r="N10" s="2" t="s">
        <v>167</v>
      </c>
      <c r="O10" s="2">
        <v>13</v>
      </c>
      <c r="P10" s="2">
        <v>14</v>
      </c>
      <c r="Q10" s="2" t="s">
        <v>168</v>
      </c>
      <c r="R10" s="2">
        <v>16</v>
      </c>
      <c r="S10" s="2">
        <v>17</v>
      </c>
    </row>
    <row r="11" spans="1:19" ht="15">
      <c r="A11" s="2"/>
      <c r="B11" s="3" t="s">
        <v>116</v>
      </c>
      <c r="C11" s="25">
        <f>C12+C13</f>
        <v>3488000000</v>
      </c>
      <c r="D11" s="25">
        <f aca="true" t="shared" si="0" ref="D11:S11">D12+D13</f>
        <v>0</v>
      </c>
      <c r="E11" s="25">
        <f t="shared" si="0"/>
        <v>3488000000</v>
      </c>
      <c r="F11" s="25">
        <f t="shared" si="0"/>
        <v>2971000000</v>
      </c>
      <c r="G11" s="25">
        <f t="shared" si="0"/>
        <v>0</v>
      </c>
      <c r="H11" s="25">
        <f t="shared" si="0"/>
        <v>0</v>
      </c>
      <c r="I11" s="25">
        <f t="shared" si="0"/>
        <v>0</v>
      </c>
      <c r="J11" s="25">
        <f t="shared" si="0"/>
        <v>2971000000</v>
      </c>
      <c r="K11" s="25">
        <f t="shared" si="0"/>
        <v>2971000000</v>
      </c>
      <c r="L11" s="25">
        <f t="shared" si="0"/>
        <v>0</v>
      </c>
      <c r="M11" s="25">
        <f t="shared" si="0"/>
        <v>517000000</v>
      </c>
      <c r="N11" s="25">
        <f t="shared" si="0"/>
        <v>0</v>
      </c>
      <c r="O11" s="25">
        <f t="shared" si="0"/>
        <v>0</v>
      </c>
      <c r="P11" s="25">
        <f t="shared" si="0"/>
        <v>0</v>
      </c>
      <c r="Q11" s="25">
        <f t="shared" si="0"/>
        <v>517000000</v>
      </c>
      <c r="R11" s="25">
        <f t="shared" si="0"/>
        <v>517000000</v>
      </c>
      <c r="S11" s="25">
        <f t="shared" si="0"/>
        <v>0</v>
      </c>
    </row>
    <row r="12" spans="1:19" ht="15">
      <c r="A12" s="2"/>
      <c r="B12" s="4" t="s">
        <v>255</v>
      </c>
      <c r="C12" s="24">
        <f>D12+E12</f>
        <v>2971000000</v>
      </c>
      <c r="D12" s="24">
        <f>G12+N12</f>
        <v>0</v>
      </c>
      <c r="E12" s="24">
        <f>J12+Q12</f>
        <v>2971000000</v>
      </c>
      <c r="F12" s="24">
        <f>G12+J12</f>
        <v>2971000000</v>
      </c>
      <c r="G12" s="24">
        <f>H12+I12</f>
        <v>0</v>
      </c>
      <c r="H12" s="24"/>
      <c r="I12" s="24"/>
      <c r="J12" s="24">
        <f>K12+L12</f>
        <v>2971000000</v>
      </c>
      <c r="K12" s="24">
        <v>2971000000</v>
      </c>
      <c r="L12" s="24"/>
      <c r="M12" s="24">
        <f>N12+Q12</f>
        <v>0</v>
      </c>
      <c r="N12" s="24">
        <f>O12+P12</f>
        <v>0</v>
      </c>
      <c r="O12" s="24"/>
      <c r="P12" s="24"/>
      <c r="Q12" s="24">
        <f>R12+S12</f>
        <v>0</v>
      </c>
      <c r="R12" s="24"/>
      <c r="S12" s="24"/>
    </row>
    <row r="13" spans="1:19" ht="15">
      <c r="A13" s="5"/>
      <c r="B13" s="4" t="s">
        <v>256</v>
      </c>
      <c r="C13" s="24">
        <f>D13+E13</f>
        <v>517000000</v>
      </c>
      <c r="D13" s="24">
        <f>G13+N13</f>
        <v>0</v>
      </c>
      <c r="E13" s="24">
        <f>J13+Q13</f>
        <v>517000000</v>
      </c>
      <c r="F13" s="24">
        <f>G13+J13</f>
        <v>0</v>
      </c>
      <c r="G13" s="24">
        <f>H13+I13</f>
        <v>0</v>
      </c>
      <c r="H13" s="24"/>
      <c r="I13" s="24"/>
      <c r="J13" s="24">
        <f>K13+L13</f>
        <v>0</v>
      </c>
      <c r="K13" s="24"/>
      <c r="L13" s="24"/>
      <c r="M13" s="24">
        <f>N13+Q13</f>
        <v>517000000</v>
      </c>
      <c r="N13" s="24">
        <f>O13+P13</f>
        <v>0</v>
      </c>
      <c r="O13" s="24"/>
      <c r="P13" s="24"/>
      <c r="Q13" s="24">
        <f>R13+S13</f>
        <v>517000000</v>
      </c>
      <c r="R13" s="24">
        <v>517000000</v>
      </c>
      <c r="S13" s="24"/>
    </row>
  </sheetData>
  <sheetProtection/>
  <mergeCells count="19">
    <mergeCell ref="A2:C2"/>
    <mergeCell ref="Q1:S1"/>
    <mergeCell ref="A1:C1"/>
    <mergeCell ref="A5:S5"/>
    <mergeCell ref="A4:S4"/>
    <mergeCell ref="A7:A9"/>
    <mergeCell ref="B7:B9"/>
    <mergeCell ref="C7:C9"/>
    <mergeCell ref="D7:E7"/>
    <mergeCell ref="F7:L7"/>
    <mergeCell ref="M7:S7"/>
    <mergeCell ref="N8:P8"/>
    <mergeCell ref="Q8:S8"/>
    <mergeCell ref="D8:D9"/>
    <mergeCell ref="E8:E9"/>
    <mergeCell ref="F8:F9"/>
    <mergeCell ref="G8:I8"/>
    <mergeCell ref="J8:L8"/>
    <mergeCell ref="M8:M9"/>
  </mergeCells>
  <printOptions/>
  <pageMargins left="0.15748031496062992" right="0.15748031496062992" top="0.7480314960629921" bottom="0.7480314960629921" header="0.31496062992125984" footer="0.31496062992125984"/>
  <pageSetup horizontalDpi="600" verticalDpi="600" orientation="landscape" paperSize="9" scale="77" r:id="rId1"/>
</worksheet>
</file>

<file path=xl/worksheets/sheet11.xml><?xml version="1.0" encoding="utf-8"?>
<worksheet xmlns="http://schemas.openxmlformats.org/spreadsheetml/2006/main" xmlns:r="http://schemas.openxmlformats.org/officeDocument/2006/relationships">
  <dimension ref="A1:M23"/>
  <sheetViews>
    <sheetView tabSelected="1" zoomScalePageLayoutView="0" workbookViewId="0" topLeftCell="A1">
      <selection activeCell="A1" sqref="A1:C1"/>
    </sheetView>
  </sheetViews>
  <sheetFormatPr defaultColWidth="9.140625" defaultRowHeight="15"/>
  <cols>
    <col min="1" max="1" width="9.140625" style="6" customWidth="1"/>
    <col min="2" max="2" width="24.8515625" style="6" customWidth="1"/>
    <col min="3" max="7" width="9.140625" style="6" customWidth="1"/>
    <col min="8" max="8" width="9.57421875" style="6" customWidth="1"/>
    <col min="9" max="16384" width="9.140625" style="6" customWidth="1"/>
  </cols>
  <sheetData>
    <row r="1" spans="1:11" ht="15">
      <c r="A1" s="47" t="s">
        <v>375</v>
      </c>
      <c r="B1" s="47"/>
      <c r="C1" s="47"/>
      <c r="I1" s="52" t="s">
        <v>386</v>
      </c>
      <c r="J1" s="52"/>
      <c r="K1" s="52"/>
    </row>
    <row r="2" spans="1:11" ht="15">
      <c r="A2" s="52" t="s">
        <v>388</v>
      </c>
      <c r="B2" s="52"/>
      <c r="C2" s="52"/>
      <c r="I2" s="43"/>
      <c r="J2" s="43"/>
      <c r="K2" s="43"/>
    </row>
    <row r="4" spans="1:11" ht="48.75" customHeight="1">
      <c r="A4" s="48" t="s">
        <v>366</v>
      </c>
      <c r="B4" s="48"/>
      <c r="C4" s="48"/>
      <c r="D4" s="48"/>
      <c r="E4" s="48"/>
      <c r="F4" s="48"/>
      <c r="G4" s="48"/>
      <c r="H4" s="48"/>
      <c r="I4" s="48"/>
      <c r="J4" s="48"/>
      <c r="K4" s="48"/>
    </row>
    <row r="5" spans="1:11" ht="21.75" customHeight="1">
      <c r="A5" s="54" t="s">
        <v>380</v>
      </c>
      <c r="B5" s="54"/>
      <c r="C5" s="54"/>
      <c r="D5" s="54"/>
      <c r="E5" s="54"/>
      <c r="F5" s="54"/>
      <c r="G5" s="54"/>
      <c r="H5" s="54"/>
      <c r="I5" s="54"/>
      <c r="J5" s="54"/>
      <c r="K5" s="54"/>
    </row>
    <row r="6" spans="1:11" ht="18.75">
      <c r="A6" s="22"/>
      <c r="B6" s="22"/>
      <c r="C6" s="22"/>
      <c r="D6" s="22"/>
      <c r="E6" s="22"/>
      <c r="F6" s="22"/>
      <c r="G6" s="22"/>
      <c r="H6" s="22"/>
      <c r="I6" s="22"/>
      <c r="J6" s="22"/>
      <c r="K6" s="22"/>
    </row>
    <row r="7" ht="15">
      <c r="K7" s="28" t="s">
        <v>361</v>
      </c>
    </row>
    <row r="8" spans="1:11" ht="15">
      <c r="A8" s="50" t="s">
        <v>0</v>
      </c>
      <c r="B8" s="50" t="s">
        <v>102</v>
      </c>
      <c r="C8" s="50" t="s">
        <v>103</v>
      </c>
      <c r="D8" s="50" t="s">
        <v>367</v>
      </c>
      <c r="E8" s="50" t="s">
        <v>169</v>
      </c>
      <c r="F8" s="50"/>
      <c r="G8" s="50"/>
      <c r="H8" s="50" t="s">
        <v>170</v>
      </c>
      <c r="I8" s="50" t="s">
        <v>171</v>
      </c>
      <c r="J8" s="50" t="s">
        <v>22</v>
      </c>
      <c r="K8" s="50" t="s">
        <v>172</v>
      </c>
    </row>
    <row r="9" spans="1:11" ht="15">
      <c r="A9" s="50"/>
      <c r="B9" s="50"/>
      <c r="C9" s="50"/>
      <c r="D9" s="50"/>
      <c r="E9" s="50" t="s">
        <v>368</v>
      </c>
      <c r="F9" s="50" t="s">
        <v>173</v>
      </c>
      <c r="G9" s="50"/>
      <c r="H9" s="50"/>
      <c r="I9" s="50"/>
      <c r="J9" s="50"/>
      <c r="K9" s="50"/>
    </row>
    <row r="10" spans="1:11" ht="78" customHeight="1">
      <c r="A10" s="50"/>
      <c r="B10" s="50"/>
      <c r="C10" s="50"/>
      <c r="D10" s="50"/>
      <c r="E10" s="50"/>
      <c r="F10" s="2" t="s">
        <v>139</v>
      </c>
      <c r="G10" s="2" t="s">
        <v>369</v>
      </c>
      <c r="H10" s="50"/>
      <c r="I10" s="50"/>
      <c r="J10" s="50"/>
      <c r="K10" s="50"/>
    </row>
    <row r="11" spans="1:11" ht="28.5">
      <c r="A11" s="2" t="s">
        <v>5</v>
      </c>
      <c r="B11" s="2" t="s">
        <v>6</v>
      </c>
      <c r="C11" s="2">
        <v>1</v>
      </c>
      <c r="D11" s="2" t="s">
        <v>174</v>
      </c>
      <c r="E11" s="2">
        <v>3</v>
      </c>
      <c r="F11" s="2">
        <v>4</v>
      </c>
      <c r="G11" s="2">
        <v>5</v>
      </c>
      <c r="H11" s="2">
        <v>6</v>
      </c>
      <c r="I11" s="2">
        <v>7</v>
      </c>
      <c r="J11" s="2">
        <v>8</v>
      </c>
      <c r="K11" s="2" t="s">
        <v>175</v>
      </c>
    </row>
    <row r="12" spans="1:11" ht="15">
      <c r="A12" s="5"/>
      <c r="B12" s="3" t="s">
        <v>116</v>
      </c>
      <c r="C12" s="16">
        <f>SUM(C13:C23)</f>
        <v>18548.000000000004</v>
      </c>
      <c r="D12" s="16">
        <f aca="true" t="shared" si="0" ref="D12:J12">SUM(D13:D23)</f>
        <v>18548.000000000004</v>
      </c>
      <c r="E12" s="16">
        <f t="shared" si="0"/>
        <v>16119</v>
      </c>
      <c r="F12" s="16">
        <f t="shared" si="0"/>
        <v>2429</v>
      </c>
      <c r="G12" s="16">
        <f t="shared" si="0"/>
        <v>2429</v>
      </c>
      <c r="H12" s="16">
        <f t="shared" si="0"/>
        <v>124225</v>
      </c>
      <c r="I12" s="16">
        <f t="shared" si="0"/>
        <v>1001</v>
      </c>
      <c r="J12" s="16">
        <f t="shared" si="0"/>
        <v>0</v>
      </c>
      <c r="K12" s="16">
        <f>SUM(K13:K23)-1</f>
        <v>143773.99999999997</v>
      </c>
    </row>
    <row r="13" spans="1:13" ht="15">
      <c r="A13" s="5"/>
      <c r="B13" s="4" t="s">
        <v>336</v>
      </c>
      <c r="C13" s="17">
        <v>1025.317627</v>
      </c>
      <c r="D13" s="17">
        <f>E13+G13</f>
        <v>1025.317627</v>
      </c>
      <c r="E13" s="17">
        <v>894.3176269999999</v>
      </c>
      <c r="F13" s="17">
        <v>131</v>
      </c>
      <c r="G13" s="17">
        <v>131</v>
      </c>
      <c r="H13" s="17">
        <f>10950+359</f>
        <v>11309</v>
      </c>
      <c r="I13" s="17">
        <f>450-359</f>
        <v>91</v>
      </c>
      <c r="J13" s="17"/>
      <c r="K13" s="17">
        <f>D13+H13+I13+J13</f>
        <v>12425.317627</v>
      </c>
      <c r="M13" s="36"/>
    </row>
    <row r="14" spans="1:13" ht="15">
      <c r="A14" s="5"/>
      <c r="B14" s="4" t="s">
        <v>333</v>
      </c>
      <c r="C14" s="17">
        <v>3235.611637</v>
      </c>
      <c r="D14" s="17">
        <f aca="true" t="shared" si="1" ref="D14:D23">E14+G14</f>
        <v>3235.611637</v>
      </c>
      <c r="E14" s="17">
        <v>2712.611637</v>
      </c>
      <c r="F14" s="17">
        <v>523</v>
      </c>
      <c r="G14" s="17">
        <v>523</v>
      </c>
      <c r="H14" s="17">
        <v>10954</v>
      </c>
      <c r="I14" s="17"/>
      <c r="J14" s="17"/>
      <c r="K14" s="17">
        <f aca="true" t="shared" si="2" ref="K14:K23">D14+H14+I14+J14</f>
        <v>14189.611637</v>
      </c>
      <c r="M14" s="36"/>
    </row>
    <row r="15" spans="1:13" ht="15">
      <c r="A15" s="5"/>
      <c r="B15" s="4" t="s">
        <v>334</v>
      </c>
      <c r="C15" s="17">
        <v>1979.200137</v>
      </c>
      <c r="D15" s="17">
        <f t="shared" si="1"/>
        <v>1979.200137</v>
      </c>
      <c r="E15" s="17">
        <v>1748.200137</v>
      </c>
      <c r="F15" s="17">
        <v>231</v>
      </c>
      <c r="G15" s="17">
        <v>231</v>
      </c>
      <c r="H15" s="17">
        <f>10876+75</f>
        <v>10951</v>
      </c>
      <c r="I15" s="17">
        <f>141-75</f>
        <v>66</v>
      </c>
      <c r="J15" s="17"/>
      <c r="K15" s="17">
        <f t="shared" si="2"/>
        <v>12996.200137</v>
      </c>
      <c r="M15" s="36"/>
    </row>
    <row r="16" spans="1:13" ht="15">
      <c r="A16" s="5"/>
      <c r="B16" s="4" t="s">
        <v>335</v>
      </c>
      <c r="C16" s="17">
        <v>1364.106949</v>
      </c>
      <c r="D16" s="17">
        <f t="shared" si="1"/>
        <v>1364.106949</v>
      </c>
      <c r="E16" s="17">
        <v>1205.106949</v>
      </c>
      <c r="F16" s="17">
        <v>159</v>
      </c>
      <c r="G16" s="17">
        <v>159</v>
      </c>
      <c r="H16" s="17">
        <v>9648</v>
      </c>
      <c r="I16" s="17">
        <v>186</v>
      </c>
      <c r="J16" s="17"/>
      <c r="K16" s="17">
        <f t="shared" si="2"/>
        <v>11198.106949</v>
      </c>
      <c r="M16" s="36"/>
    </row>
    <row r="17" spans="1:13" ht="15">
      <c r="A17" s="5"/>
      <c r="B17" s="4" t="s">
        <v>337</v>
      </c>
      <c r="C17" s="17">
        <v>1610.6886379999999</v>
      </c>
      <c r="D17" s="17">
        <f t="shared" si="1"/>
        <v>1610.6886379999999</v>
      </c>
      <c r="E17" s="17">
        <v>1406.6886379999999</v>
      </c>
      <c r="F17" s="17">
        <v>204</v>
      </c>
      <c r="G17" s="17">
        <v>204</v>
      </c>
      <c r="H17" s="17">
        <f>13220+234</f>
        <v>13454</v>
      </c>
      <c r="I17" s="17">
        <f>272-234</f>
        <v>38</v>
      </c>
      <c r="J17" s="17"/>
      <c r="K17" s="17">
        <f t="shared" si="2"/>
        <v>15102.688638</v>
      </c>
      <c r="M17" s="36"/>
    </row>
    <row r="18" spans="1:13" ht="15">
      <c r="A18" s="5"/>
      <c r="B18" s="4" t="s">
        <v>338</v>
      </c>
      <c r="C18" s="17">
        <v>1297.44224</v>
      </c>
      <c r="D18" s="17">
        <f t="shared" si="1"/>
        <v>1297.44224</v>
      </c>
      <c r="E18" s="17">
        <v>1071.44224</v>
      </c>
      <c r="F18" s="17">
        <v>226</v>
      </c>
      <c r="G18" s="17">
        <v>226</v>
      </c>
      <c r="H18" s="17">
        <f>10645+272</f>
        <v>10917</v>
      </c>
      <c r="I18" s="17">
        <f>391-272</f>
        <v>119</v>
      </c>
      <c r="J18" s="17"/>
      <c r="K18" s="17">
        <f>D18+H18+I18+J18+1</f>
        <v>12334.44224</v>
      </c>
      <c r="M18" s="36"/>
    </row>
    <row r="19" spans="1:13" ht="15">
      <c r="A19" s="5"/>
      <c r="B19" s="4" t="s">
        <v>339</v>
      </c>
      <c r="C19" s="17">
        <v>1047.412401</v>
      </c>
      <c r="D19" s="17">
        <f t="shared" si="1"/>
        <v>1047.412401</v>
      </c>
      <c r="E19" s="17">
        <v>870.412401</v>
      </c>
      <c r="F19" s="17">
        <v>177</v>
      </c>
      <c r="G19" s="17">
        <v>177</v>
      </c>
      <c r="H19" s="17">
        <f>11215+328</f>
        <v>11543</v>
      </c>
      <c r="I19" s="17">
        <f>466-328</f>
        <v>138</v>
      </c>
      <c r="J19" s="17"/>
      <c r="K19" s="17">
        <f t="shared" si="2"/>
        <v>12728.412401</v>
      </c>
      <c r="M19" s="36"/>
    </row>
    <row r="20" spans="1:13" ht="15">
      <c r="A20" s="5"/>
      <c r="B20" s="4" t="s">
        <v>340</v>
      </c>
      <c r="C20" s="17">
        <v>2821.76955</v>
      </c>
      <c r="D20" s="17">
        <f t="shared" si="1"/>
        <v>2821.76955</v>
      </c>
      <c r="E20" s="17">
        <v>2540.76955</v>
      </c>
      <c r="F20" s="17">
        <v>281</v>
      </c>
      <c r="G20" s="17">
        <v>281</v>
      </c>
      <c r="H20" s="17">
        <v>12971</v>
      </c>
      <c r="I20" s="17">
        <v>98</v>
      </c>
      <c r="J20" s="17"/>
      <c r="K20" s="17">
        <f t="shared" si="2"/>
        <v>15890.76955</v>
      </c>
      <c r="M20" s="36"/>
    </row>
    <row r="21" spans="1:13" ht="15">
      <c r="A21" s="5"/>
      <c r="B21" s="4" t="s">
        <v>341</v>
      </c>
      <c r="C21" s="17">
        <v>1606.289194</v>
      </c>
      <c r="D21" s="17">
        <f t="shared" si="1"/>
        <v>1606.289194</v>
      </c>
      <c r="E21" s="17">
        <v>1404.289194</v>
      </c>
      <c r="F21" s="17">
        <v>202</v>
      </c>
      <c r="G21" s="17">
        <v>202</v>
      </c>
      <c r="H21" s="17">
        <v>9890</v>
      </c>
      <c r="I21" s="17">
        <v>158</v>
      </c>
      <c r="J21" s="17"/>
      <c r="K21" s="17">
        <f t="shared" si="2"/>
        <v>11654.289194</v>
      </c>
      <c r="M21" s="36"/>
    </row>
    <row r="22" spans="1:13" ht="15">
      <c r="A22" s="5"/>
      <c r="B22" s="4" t="s">
        <v>342</v>
      </c>
      <c r="C22" s="17">
        <v>1333.114933</v>
      </c>
      <c r="D22" s="17">
        <f t="shared" si="1"/>
        <v>1333.114933</v>
      </c>
      <c r="E22" s="17">
        <v>1212.114933</v>
      </c>
      <c r="F22" s="17">
        <v>121</v>
      </c>
      <c r="G22" s="17">
        <v>121</v>
      </c>
      <c r="H22" s="17">
        <f>11851+143</f>
        <v>11994</v>
      </c>
      <c r="I22" s="17">
        <f>228-143</f>
        <v>85</v>
      </c>
      <c r="J22" s="17"/>
      <c r="K22" s="17">
        <f t="shared" si="2"/>
        <v>13412.114933</v>
      </c>
      <c r="M22" s="36"/>
    </row>
    <row r="23" spans="1:13" ht="15">
      <c r="A23" s="5"/>
      <c r="B23" s="4" t="s">
        <v>343</v>
      </c>
      <c r="C23" s="17">
        <v>1227.0466940000001</v>
      </c>
      <c r="D23" s="17">
        <f t="shared" si="1"/>
        <v>1227.0466940000001</v>
      </c>
      <c r="E23" s="17">
        <v>1053.0466940000001</v>
      </c>
      <c r="F23" s="17">
        <v>174</v>
      </c>
      <c r="G23" s="17">
        <v>174</v>
      </c>
      <c r="H23" s="17">
        <f>10354+240</f>
        <v>10594</v>
      </c>
      <c r="I23" s="17">
        <f>262-240</f>
        <v>22</v>
      </c>
      <c r="J23" s="17"/>
      <c r="K23" s="17">
        <f t="shared" si="2"/>
        <v>11843.046694</v>
      </c>
      <c r="M23" s="36"/>
    </row>
  </sheetData>
  <sheetProtection/>
  <mergeCells count="16">
    <mergeCell ref="I1:K1"/>
    <mergeCell ref="A5:K5"/>
    <mergeCell ref="E8:G8"/>
    <mergeCell ref="H8:H10"/>
    <mergeCell ref="A1:C1"/>
    <mergeCell ref="A2:C2"/>
    <mergeCell ref="I8:I10"/>
    <mergeCell ref="J8:J10"/>
    <mergeCell ref="K8:K10"/>
    <mergeCell ref="E9:E10"/>
    <mergeCell ref="F9:G9"/>
    <mergeCell ref="A4:K4"/>
    <mergeCell ref="A8:A10"/>
    <mergeCell ref="B8:B10"/>
    <mergeCell ref="C8:C10"/>
    <mergeCell ref="D8:D10"/>
  </mergeCells>
  <printOptions/>
  <pageMargins left="0.15748031496062992" right="0.15748031496062992" top="0.7480314960629921" bottom="0.7480314960629921"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U22"/>
  <sheetViews>
    <sheetView zoomScalePageLayoutView="0" workbookViewId="0" topLeftCell="A1">
      <selection activeCell="L9" sqref="L9"/>
    </sheetView>
  </sheetViews>
  <sheetFormatPr defaultColWidth="9.140625" defaultRowHeight="15"/>
  <cols>
    <col min="1" max="1" width="5.8515625" style="1" customWidth="1"/>
    <col min="2" max="2" width="21.8515625" style="1" customWidth="1"/>
    <col min="3" max="16384" width="9.140625" style="1" customWidth="1"/>
  </cols>
  <sheetData>
    <row r="1" spans="1:21" ht="19.5" customHeight="1">
      <c r="A1" s="64" t="s">
        <v>375</v>
      </c>
      <c r="B1" s="64"/>
      <c r="C1" s="64"/>
      <c r="S1" s="52" t="s">
        <v>372</v>
      </c>
      <c r="T1" s="52"/>
      <c r="U1" s="52"/>
    </row>
    <row r="2" spans="19:21" ht="15" customHeight="1">
      <c r="S2" s="63"/>
      <c r="T2" s="63"/>
      <c r="U2" s="63"/>
    </row>
    <row r="3" spans="1:21" ht="18.75">
      <c r="A3" s="66" t="s">
        <v>370</v>
      </c>
      <c r="B3" s="66"/>
      <c r="C3" s="66"/>
      <c r="D3" s="66"/>
      <c r="E3" s="66"/>
      <c r="F3" s="66"/>
      <c r="G3" s="66"/>
      <c r="H3" s="66"/>
      <c r="I3" s="66"/>
      <c r="J3" s="66"/>
      <c r="K3" s="66"/>
      <c r="L3" s="66"/>
      <c r="M3" s="66"/>
      <c r="N3" s="66"/>
      <c r="O3" s="66"/>
      <c r="P3" s="66"/>
      <c r="Q3" s="66"/>
      <c r="R3" s="66"/>
      <c r="S3" s="66"/>
      <c r="T3" s="66"/>
      <c r="U3" s="66"/>
    </row>
    <row r="4" spans="1:21" ht="15">
      <c r="A4" s="65" t="s">
        <v>376</v>
      </c>
      <c r="B4" s="65"/>
      <c r="C4" s="65"/>
      <c r="D4" s="65"/>
      <c r="E4" s="65"/>
      <c r="F4" s="65"/>
      <c r="G4" s="65"/>
      <c r="H4" s="65"/>
      <c r="I4" s="65"/>
      <c r="J4" s="65"/>
      <c r="K4" s="65"/>
      <c r="L4" s="65"/>
      <c r="M4" s="65"/>
      <c r="N4" s="65"/>
      <c r="O4" s="65"/>
      <c r="P4" s="65"/>
      <c r="Q4" s="65"/>
      <c r="R4" s="65"/>
      <c r="S4" s="65"/>
      <c r="T4" s="65"/>
      <c r="U4" s="65"/>
    </row>
    <row r="5" ht="15">
      <c r="U5" s="28" t="s">
        <v>361</v>
      </c>
    </row>
    <row r="6" spans="1:21" ht="15">
      <c r="A6" s="50" t="s">
        <v>0</v>
      </c>
      <c r="B6" s="50" t="s">
        <v>155</v>
      </c>
      <c r="C6" s="50" t="s">
        <v>176</v>
      </c>
      <c r="D6" s="50" t="s">
        <v>177</v>
      </c>
      <c r="E6" s="50"/>
      <c r="F6" s="50"/>
      <c r="G6" s="50"/>
      <c r="H6" s="50"/>
      <c r="I6" s="50"/>
      <c r="J6" s="50"/>
      <c r="K6" s="50"/>
      <c r="L6" s="50"/>
      <c r="M6" s="50"/>
      <c r="N6" s="50"/>
      <c r="O6" s="50"/>
      <c r="P6" s="50"/>
      <c r="Q6" s="50" t="s">
        <v>178</v>
      </c>
      <c r="R6" s="50"/>
      <c r="S6" s="50"/>
      <c r="T6" s="50"/>
      <c r="U6" s="50" t="s">
        <v>33</v>
      </c>
    </row>
    <row r="7" spans="1:21" ht="28.5" customHeight="1">
      <c r="A7" s="50"/>
      <c r="B7" s="50"/>
      <c r="C7" s="50"/>
      <c r="D7" s="50" t="s">
        <v>139</v>
      </c>
      <c r="E7" s="50" t="s">
        <v>143</v>
      </c>
      <c r="F7" s="50"/>
      <c r="G7" s="50"/>
      <c r="H7" s="50"/>
      <c r="I7" s="50"/>
      <c r="J7" s="50"/>
      <c r="K7" s="50" t="s">
        <v>25</v>
      </c>
      <c r="L7" s="50"/>
      <c r="M7" s="50"/>
      <c r="N7" s="50" t="s">
        <v>179</v>
      </c>
      <c r="O7" s="50" t="s">
        <v>28</v>
      </c>
      <c r="P7" s="50" t="s">
        <v>180</v>
      </c>
      <c r="Q7" s="50" t="s">
        <v>139</v>
      </c>
      <c r="R7" s="50" t="s">
        <v>181</v>
      </c>
      <c r="S7" s="50" t="s">
        <v>182</v>
      </c>
      <c r="T7" s="50" t="s">
        <v>183</v>
      </c>
      <c r="U7" s="50"/>
    </row>
    <row r="8" spans="1:21" ht="15">
      <c r="A8" s="50"/>
      <c r="B8" s="50"/>
      <c r="C8" s="50"/>
      <c r="D8" s="50"/>
      <c r="E8" s="50" t="s">
        <v>139</v>
      </c>
      <c r="F8" s="50" t="s">
        <v>152</v>
      </c>
      <c r="G8" s="50"/>
      <c r="H8" s="50" t="s">
        <v>184</v>
      </c>
      <c r="I8" s="50" t="s">
        <v>185</v>
      </c>
      <c r="J8" s="50" t="s">
        <v>84</v>
      </c>
      <c r="K8" s="50" t="s">
        <v>139</v>
      </c>
      <c r="L8" s="50" t="s">
        <v>152</v>
      </c>
      <c r="M8" s="50"/>
      <c r="N8" s="50"/>
      <c r="O8" s="50"/>
      <c r="P8" s="50"/>
      <c r="Q8" s="50"/>
      <c r="R8" s="50"/>
      <c r="S8" s="50"/>
      <c r="T8" s="50"/>
      <c r="U8" s="50"/>
    </row>
    <row r="9" spans="1:21" ht="71.25">
      <c r="A9" s="50"/>
      <c r="B9" s="50"/>
      <c r="C9" s="50"/>
      <c r="D9" s="50"/>
      <c r="E9" s="50"/>
      <c r="F9" s="2" t="s">
        <v>186</v>
      </c>
      <c r="G9" s="2" t="s">
        <v>122</v>
      </c>
      <c r="H9" s="50"/>
      <c r="I9" s="50"/>
      <c r="J9" s="50"/>
      <c r="K9" s="50"/>
      <c r="L9" s="2" t="s">
        <v>186</v>
      </c>
      <c r="M9" s="2" t="s">
        <v>89</v>
      </c>
      <c r="N9" s="50"/>
      <c r="O9" s="50"/>
      <c r="P9" s="50"/>
      <c r="Q9" s="50"/>
      <c r="R9" s="50"/>
      <c r="S9" s="50"/>
      <c r="T9" s="50"/>
      <c r="U9" s="50"/>
    </row>
    <row r="10" spans="1:21" ht="42.75">
      <c r="A10" s="2" t="s">
        <v>5</v>
      </c>
      <c r="B10" s="2" t="s">
        <v>6</v>
      </c>
      <c r="C10" s="2" t="s">
        <v>187</v>
      </c>
      <c r="D10" s="2" t="s">
        <v>188</v>
      </c>
      <c r="E10" s="2" t="s">
        <v>189</v>
      </c>
      <c r="F10" s="2">
        <v>4</v>
      </c>
      <c r="G10" s="2">
        <v>5</v>
      </c>
      <c r="H10" s="2">
        <v>6</v>
      </c>
      <c r="I10" s="2">
        <v>7</v>
      </c>
      <c r="J10" s="2">
        <v>8</v>
      </c>
      <c r="K10" s="2">
        <v>9</v>
      </c>
      <c r="L10" s="2">
        <v>10</v>
      </c>
      <c r="M10" s="2">
        <v>11</v>
      </c>
      <c r="N10" s="2">
        <v>12</v>
      </c>
      <c r="O10" s="2">
        <v>13</v>
      </c>
      <c r="P10" s="2">
        <v>14</v>
      </c>
      <c r="Q10" s="2" t="s">
        <v>190</v>
      </c>
      <c r="R10" s="2">
        <v>16</v>
      </c>
      <c r="S10" s="2">
        <v>17</v>
      </c>
      <c r="T10" s="2">
        <v>18</v>
      </c>
      <c r="U10" s="2">
        <v>19</v>
      </c>
    </row>
    <row r="11" spans="1:21" ht="15">
      <c r="A11" s="5"/>
      <c r="B11" s="3" t="s">
        <v>116</v>
      </c>
      <c r="C11" s="25">
        <f>SUM(C12:C22)-1000000</f>
        <v>143773558094</v>
      </c>
      <c r="D11" s="25">
        <f>SUM(D12:D22)-1000000</f>
        <v>143773558094</v>
      </c>
      <c r="E11" s="25">
        <f aca="true" t="shared" si="0" ref="E11:U11">SUM(E12:E22)</f>
        <v>0</v>
      </c>
      <c r="F11" s="25">
        <f t="shared" si="0"/>
        <v>0</v>
      </c>
      <c r="G11" s="25">
        <f t="shared" si="0"/>
        <v>0</v>
      </c>
      <c r="H11" s="25">
        <f t="shared" si="0"/>
        <v>0</v>
      </c>
      <c r="I11" s="25">
        <f t="shared" si="0"/>
        <v>0</v>
      </c>
      <c r="J11" s="25">
        <f t="shared" si="0"/>
        <v>0</v>
      </c>
      <c r="K11" s="25">
        <f>SUM(K12:K22)-1000000</f>
        <v>140245962014</v>
      </c>
      <c r="L11" s="25">
        <f t="shared" si="0"/>
        <v>0</v>
      </c>
      <c r="M11" s="25">
        <f t="shared" si="0"/>
        <v>0</v>
      </c>
      <c r="N11" s="25">
        <f t="shared" si="0"/>
        <v>0</v>
      </c>
      <c r="O11" s="25">
        <f t="shared" si="0"/>
        <v>3527596080</v>
      </c>
      <c r="P11" s="25">
        <f t="shared" si="0"/>
        <v>0</v>
      </c>
      <c r="Q11" s="25">
        <f t="shared" si="0"/>
        <v>0</v>
      </c>
      <c r="R11" s="25">
        <f t="shared" si="0"/>
        <v>0</v>
      </c>
      <c r="S11" s="25">
        <f t="shared" si="0"/>
        <v>0</v>
      </c>
      <c r="T11" s="25">
        <f t="shared" si="0"/>
        <v>0</v>
      </c>
      <c r="U11" s="25">
        <f t="shared" si="0"/>
        <v>0</v>
      </c>
    </row>
    <row r="12" spans="1:21" ht="15">
      <c r="A12" s="5">
        <v>1</v>
      </c>
      <c r="B12" s="4" t="s">
        <v>333</v>
      </c>
      <c r="C12" s="24">
        <f>D12+Q12+U12</f>
        <v>14189432301</v>
      </c>
      <c r="D12" s="24">
        <f>E12+K12+N12+O12+P12</f>
        <v>14189432301</v>
      </c>
      <c r="E12" s="24"/>
      <c r="F12" s="24"/>
      <c r="G12" s="24"/>
      <c r="H12" s="24"/>
      <c r="I12" s="24"/>
      <c r="J12" s="24"/>
      <c r="K12" s="24">
        <v>13849361722</v>
      </c>
      <c r="L12" s="24"/>
      <c r="M12" s="24"/>
      <c r="N12" s="24"/>
      <c r="O12" s="24">
        <v>340070579</v>
      </c>
      <c r="P12" s="24"/>
      <c r="Q12" s="24"/>
      <c r="R12" s="24"/>
      <c r="S12" s="24"/>
      <c r="T12" s="24"/>
      <c r="U12" s="24"/>
    </row>
    <row r="13" spans="1:21" ht="30">
      <c r="A13" s="5">
        <v>2</v>
      </c>
      <c r="B13" s="4" t="s">
        <v>334</v>
      </c>
      <c r="C13" s="24">
        <f aca="true" t="shared" si="1" ref="C13:C22">D13+Q13+U13</f>
        <v>12996270503</v>
      </c>
      <c r="D13" s="24">
        <f aca="true" t="shared" si="2" ref="D13:D22">E13+K13+N13+O13+P13</f>
        <v>12996270503</v>
      </c>
      <c r="E13" s="24"/>
      <c r="F13" s="24"/>
      <c r="G13" s="24"/>
      <c r="H13" s="24"/>
      <c r="I13" s="24"/>
      <c r="J13" s="24"/>
      <c r="K13" s="24">
        <v>12671234096</v>
      </c>
      <c r="L13" s="24"/>
      <c r="M13" s="24"/>
      <c r="N13" s="24"/>
      <c r="O13" s="24">
        <v>325036407</v>
      </c>
      <c r="P13" s="24"/>
      <c r="Q13" s="24"/>
      <c r="R13" s="24"/>
      <c r="S13" s="24"/>
      <c r="T13" s="24"/>
      <c r="U13" s="24"/>
    </row>
    <row r="14" spans="1:21" ht="15">
      <c r="A14" s="5">
        <v>3</v>
      </c>
      <c r="B14" s="4" t="s">
        <v>335</v>
      </c>
      <c r="C14" s="24">
        <f t="shared" si="1"/>
        <v>11197987692</v>
      </c>
      <c r="D14" s="24">
        <f t="shared" si="2"/>
        <v>11197987692</v>
      </c>
      <c r="E14" s="24"/>
      <c r="F14" s="24"/>
      <c r="G14" s="24"/>
      <c r="H14" s="24"/>
      <c r="I14" s="24"/>
      <c r="J14" s="24"/>
      <c r="K14" s="24">
        <v>10919305018</v>
      </c>
      <c r="L14" s="24"/>
      <c r="M14" s="24"/>
      <c r="N14" s="24"/>
      <c r="O14" s="24">
        <v>278682674</v>
      </c>
      <c r="P14" s="24"/>
      <c r="Q14" s="24"/>
      <c r="R14" s="24"/>
      <c r="S14" s="24"/>
      <c r="T14" s="24"/>
      <c r="U14" s="24"/>
    </row>
    <row r="15" spans="1:21" ht="15">
      <c r="A15" s="5">
        <v>4</v>
      </c>
      <c r="B15" s="4" t="s">
        <v>336</v>
      </c>
      <c r="C15" s="24">
        <f t="shared" si="1"/>
        <v>12424889389</v>
      </c>
      <c r="D15" s="24">
        <f t="shared" si="2"/>
        <v>12424889389</v>
      </c>
      <c r="E15" s="24"/>
      <c r="F15" s="24"/>
      <c r="G15" s="24"/>
      <c r="H15" s="24"/>
      <c r="I15" s="24"/>
      <c r="J15" s="24"/>
      <c r="K15" s="24">
        <v>12113689074</v>
      </c>
      <c r="L15" s="24"/>
      <c r="M15" s="24"/>
      <c r="N15" s="24"/>
      <c r="O15" s="24">
        <v>311200315</v>
      </c>
      <c r="P15" s="24"/>
      <c r="Q15" s="24"/>
      <c r="R15" s="24"/>
      <c r="S15" s="24"/>
      <c r="T15" s="24"/>
      <c r="U15" s="24"/>
    </row>
    <row r="16" spans="1:21" ht="30">
      <c r="A16" s="5">
        <v>5</v>
      </c>
      <c r="B16" s="4" t="s">
        <v>337</v>
      </c>
      <c r="C16" s="24">
        <f t="shared" si="1"/>
        <v>15102378297</v>
      </c>
      <c r="D16" s="24">
        <f t="shared" si="2"/>
        <v>15102378297</v>
      </c>
      <c r="E16" s="24"/>
      <c r="F16" s="24"/>
      <c r="G16" s="24"/>
      <c r="H16" s="24"/>
      <c r="I16" s="24"/>
      <c r="J16" s="24"/>
      <c r="K16" s="24">
        <v>14731932234</v>
      </c>
      <c r="L16" s="24"/>
      <c r="M16" s="24"/>
      <c r="N16" s="24"/>
      <c r="O16" s="24">
        <v>370446063</v>
      </c>
      <c r="P16" s="24"/>
      <c r="Q16" s="24"/>
      <c r="R16" s="24"/>
      <c r="S16" s="24"/>
      <c r="T16" s="24"/>
      <c r="U16" s="24"/>
    </row>
    <row r="17" spans="1:21" ht="15">
      <c r="A17" s="5">
        <v>6</v>
      </c>
      <c r="B17" s="4" t="s">
        <v>338</v>
      </c>
      <c r="C17" s="24">
        <f t="shared" si="1"/>
        <v>12333506550</v>
      </c>
      <c r="D17" s="24">
        <f t="shared" si="2"/>
        <v>12333506550</v>
      </c>
      <c r="E17" s="24"/>
      <c r="F17" s="24"/>
      <c r="G17" s="24"/>
      <c r="H17" s="24"/>
      <c r="I17" s="24"/>
      <c r="J17" s="24"/>
      <c r="K17" s="24">
        <v>12031377380</v>
      </c>
      <c r="L17" s="24"/>
      <c r="M17" s="24"/>
      <c r="N17" s="24"/>
      <c r="O17" s="24">
        <v>302129170</v>
      </c>
      <c r="P17" s="24"/>
      <c r="Q17" s="24"/>
      <c r="R17" s="24"/>
      <c r="S17" s="24"/>
      <c r="T17" s="24"/>
      <c r="U17" s="24"/>
    </row>
    <row r="18" spans="1:21" ht="15">
      <c r="A18" s="5">
        <v>7</v>
      </c>
      <c r="B18" s="4" t="s">
        <v>339</v>
      </c>
      <c r="C18" s="24">
        <f t="shared" si="1"/>
        <v>12728419378</v>
      </c>
      <c r="D18" s="24">
        <f t="shared" si="2"/>
        <v>12728419378</v>
      </c>
      <c r="E18" s="24"/>
      <c r="F18" s="24"/>
      <c r="G18" s="24"/>
      <c r="H18" s="24"/>
      <c r="I18" s="24"/>
      <c r="J18" s="24"/>
      <c r="K18" s="24">
        <v>12423934165</v>
      </c>
      <c r="L18" s="24"/>
      <c r="M18" s="24"/>
      <c r="N18" s="24"/>
      <c r="O18" s="24">
        <v>304485213</v>
      </c>
      <c r="P18" s="24"/>
      <c r="Q18" s="24"/>
      <c r="R18" s="24"/>
      <c r="S18" s="24"/>
      <c r="T18" s="24"/>
      <c r="U18" s="24"/>
    </row>
    <row r="19" spans="1:21" ht="15">
      <c r="A19" s="5">
        <v>8</v>
      </c>
      <c r="B19" s="4" t="s">
        <v>340</v>
      </c>
      <c r="C19" s="24">
        <f t="shared" si="1"/>
        <v>15890623025</v>
      </c>
      <c r="D19" s="24">
        <f t="shared" si="2"/>
        <v>15890623025</v>
      </c>
      <c r="E19" s="24"/>
      <c r="F19" s="24"/>
      <c r="G19" s="24"/>
      <c r="H19" s="24"/>
      <c r="I19" s="24"/>
      <c r="J19" s="24"/>
      <c r="K19" s="24">
        <v>15510646284</v>
      </c>
      <c r="L19" s="24"/>
      <c r="M19" s="24"/>
      <c r="N19" s="24"/>
      <c r="O19" s="24">
        <v>379976741</v>
      </c>
      <c r="P19" s="24"/>
      <c r="Q19" s="24"/>
      <c r="R19" s="24"/>
      <c r="S19" s="24"/>
      <c r="T19" s="24"/>
      <c r="U19" s="24"/>
    </row>
    <row r="20" spans="1:21" ht="15">
      <c r="A20" s="5">
        <v>9</v>
      </c>
      <c r="B20" s="4" t="s">
        <v>341</v>
      </c>
      <c r="C20" s="24">
        <f t="shared" si="1"/>
        <v>11654620988</v>
      </c>
      <c r="D20" s="24">
        <f t="shared" si="2"/>
        <v>11654620988</v>
      </c>
      <c r="E20" s="24"/>
      <c r="F20" s="24"/>
      <c r="G20" s="24"/>
      <c r="H20" s="24"/>
      <c r="I20" s="24"/>
      <c r="J20" s="24"/>
      <c r="K20" s="24">
        <v>11366173467</v>
      </c>
      <c r="L20" s="24"/>
      <c r="M20" s="24"/>
      <c r="N20" s="24"/>
      <c r="O20" s="24">
        <v>288447521</v>
      </c>
      <c r="P20" s="24"/>
      <c r="Q20" s="24"/>
      <c r="R20" s="24"/>
      <c r="S20" s="24"/>
      <c r="T20" s="24"/>
      <c r="U20" s="24"/>
    </row>
    <row r="21" spans="1:21" ht="15">
      <c r="A21" s="5">
        <v>10</v>
      </c>
      <c r="B21" s="4" t="s">
        <v>342</v>
      </c>
      <c r="C21" s="24">
        <f t="shared" si="1"/>
        <v>13412217498</v>
      </c>
      <c r="D21" s="24">
        <f t="shared" si="2"/>
        <v>13412217498</v>
      </c>
      <c r="E21" s="24"/>
      <c r="F21" s="24"/>
      <c r="G21" s="24"/>
      <c r="H21" s="24"/>
      <c r="I21" s="24"/>
      <c r="J21" s="24"/>
      <c r="K21" s="24">
        <v>13082341787</v>
      </c>
      <c r="L21" s="24"/>
      <c r="M21" s="24"/>
      <c r="N21" s="24"/>
      <c r="O21" s="24">
        <v>329875711</v>
      </c>
      <c r="P21" s="24"/>
      <c r="Q21" s="24"/>
      <c r="R21" s="24"/>
      <c r="S21" s="24"/>
      <c r="T21" s="24"/>
      <c r="U21" s="24"/>
    </row>
    <row r="22" spans="1:21" ht="30">
      <c r="A22" s="5">
        <v>11</v>
      </c>
      <c r="B22" s="4" t="s">
        <v>343</v>
      </c>
      <c r="C22" s="24">
        <f t="shared" si="1"/>
        <v>11844212473</v>
      </c>
      <c r="D22" s="24">
        <f t="shared" si="2"/>
        <v>11844212473</v>
      </c>
      <c r="E22" s="24"/>
      <c r="F22" s="24"/>
      <c r="G22" s="24"/>
      <c r="H22" s="24"/>
      <c r="I22" s="24"/>
      <c r="J22" s="24"/>
      <c r="K22" s="24">
        <v>11546966787</v>
      </c>
      <c r="L22" s="24"/>
      <c r="M22" s="24"/>
      <c r="N22" s="24"/>
      <c r="O22" s="24">
        <v>297245686</v>
      </c>
      <c r="P22" s="24"/>
      <c r="Q22" s="24"/>
      <c r="R22" s="24"/>
      <c r="S22" s="24"/>
      <c r="T22" s="24"/>
      <c r="U22" s="24"/>
    </row>
  </sheetData>
  <sheetProtection/>
  <mergeCells count="28">
    <mergeCell ref="S1:U1"/>
    <mergeCell ref="S2:U2"/>
    <mergeCell ref="A1:C1"/>
    <mergeCell ref="A4:U4"/>
    <mergeCell ref="A3:U3"/>
    <mergeCell ref="E8:E9"/>
    <mergeCell ref="F8:G8"/>
    <mergeCell ref="H8:H9"/>
    <mergeCell ref="I8:I9"/>
    <mergeCell ref="J8:J9"/>
    <mergeCell ref="S7:S9"/>
    <mergeCell ref="K8:K9"/>
    <mergeCell ref="O7:O9"/>
    <mergeCell ref="P7:P9"/>
    <mergeCell ref="A6:A9"/>
    <mergeCell ref="B6:B9"/>
    <mergeCell ref="C6:C9"/>
    <mergeCell ref="D6:P6"/>
    <mergeCell ref="T7:T9"/>
    <mergeCell ref="Q6:T6"/>
    <mergeCell ref="L8:M8"/>
    <mergeCell ref="U6:U9"/>
    <mergeCell ref="D7:D9"/>
    <mergeCell ref="E7:J7"/>
    <mergeCell ref="K7:M7"/>
    <mergeCell ref="N7:N9"/>
    <mergeCell ref="Q7:Q9"/>
    <mergeCell ref="R7:R9"/>
  </mergeCells>
  <printOptions/>
  <pageMargins left="0.15748031496062992" right="0.15748031496062992" top="0.7480314960629921" bottom="0.7480314960629921" header="0.31496062992125984" footer="0.3149606299212598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H51"/>
  <sheetViews>
    <sheetView zoomScalePageLayoutView="0" workbookViewId="0" topLeftCell="A1">
      <selection activeCell="A1" sqref="A1:C1"/>
    </sheetView>
  </sheetViews>
  <sheetFormatPr defaultColWidth="9.140625" defaultRowHeight="15"/>
  <cols>
    <col min="1" max="1" width="5.140625" style="6" customWidth="1"/>
    <col min="2" max="2" width="22.00390625" style="6" customWidth="1"/>
    <col min="3" max="6" width="12.7109375" style="6" customWidth="1"/>
    <col min="7" max="7" width="9.28125" style="6" customWidth="1"/>
    <col min="8" max="8" width="10.7109375" style="6" bestFit="1" customWidth="1"/>
    <col min="9" max="16384" width="9.140625" style="6" customWidth="1"/>
  </cols>
  <sheetData>
    <row r="1" spans="1:8" ht="15">
      <c r="A1" s="47" t="s">
        <v>375</v>
      </c>
      <c r="B1" s="47"/>
      <c r="C1" s="47"/>
      <c r="F1" s="51" t="s">
        <v>381</v>
      </c>
      <c r="G1" s="51"/>
      <c r="H1" s="51"/>
    </row>
    <row r="2" spans="1:8" ht="15">
      <c r="A2" s="52" t="s">
        <v>388</v>
      </c>
      <c r="B2" s="52"/>
      <c r="C2" s="52"/>
      <c r="F2" s="45"/>
      <c r="G2" s="45"/>
      <c r="H2" s="45"/>
    </row>
    <row r="4" spans="1:8" ht="18.75">
      <c r="A4" s="49" t="s">
        <v>194</v>
      </c>
      <c r="B4" s="49"/>
      <c r="C4" s="49"/>
      <c r="D4" s="49"/>
      <c r="E4" s="49"/>
      <c r="F4" s="49"/>
      <c r="G4" s="49"/>
      <c r="H4" s="49"/>
    </row>
    <row r="5" spans="1:8" ht="15">
      <c r="A5" s="53" t="s">
        <v>380</v>
      </c>
      <c r="B5" s="53"/>
      <c r="C5" s="53"/>
      <c r="D5" s="53"/>
      <c r="E5" s="53"/>
      <c r="F5" s="53"/>
      <c r="G5" s="53"/>
      <c r="H5" s="53"/>
    </row>
    <row r="6" spans="1:8" ht="15">
      <c r="A6" s="19"/>
      <c r="B6" s="19"/>
      <c r="C6" s="19"/>
      <c r="D6" s="19"/>
      <c r="E6" s="19"/>
      <c r="F6" s="19"/>
      <c r="G6" s="19"/>
      <c r="H6" s="19"/>
    </row>
    <row r="7" ht="15">
      <c r="H7" s="8" t="s">
        <v>192</v>
      </c>
    </row>
    <row r="8" spans="1:8" ht="15">
      <c r="A8" s="50" t="s">
        <v>0</v>
      </c>
      <c r="B8" s="50" t="s">
        <v>1</v>
      </c>
      <c r="C8" s="50" t="s">
        <v>195</v>
      </c>
      <c r="D8" s="50"/>
      <c r="E8" s="50" t="s">
        <v>191</v>
      </c>
      <c r="F8" s="50"/>
      <c r="G8" s="50" t="s">
        <v>41</v>
      </c>
      <c r="H8" s="50"/>
    </row>
    <row r="9" spans="1:8" ht="42.75">
      <c r="A9" s="50"/>
      <c r="B9" s="50"/>
      <c r="C9" s="2" t="s">
        <v>42</v>
      </c>
      <c r="D9" s="2" t="s">
        <v>43</v>
      </c>
      <c r="E9" s="2" t="s">
        <v>42</v>
      </c>
      <c r="F9" s="2" t="s">
        <v>43</v>
      </c>
      <c r="G9" s="2" t="s">
        <v>42</v>
      </c>
      <c r="H9" s="2" t="s">
        <v>43</v>
      </c>
    </row>
    <row r="10" spans="1:8" ht="15">
      <c r="A10" s="2" t="s">
        <v>5</v>
      </c>
      <c r="B10" s="2" t="s">
        <v>6</v>
      </c>
      <c r="C10" s="2">
        <v>1</v>
      </c>
      <c r="D10" s="2">
        <v>2</v>
      </c>
      <c r="E10" s="2">
        <v>3</v>
      </c>
      <c r="F10" s="2">
        <v>4</v>
      </c>
      <c r="G10" s="2" t="s">
        <v>44</v>
      </c>
      <c r="H10" s="2" t="s">
        <v>45</v>
      </c>
    </row>
    <row r="11" spans="1:8" ht="15">
      <c r="A11" s="2"/>
      <c r="B11" s="3" t="s">
        <v>46</v>
      </c>
      <c r="C11" s="16">
        <f>C12+C43+C44+C51</f>
        <v>2454785</v>
      </c>
      <c r="D11" s="16">
        <f>D12+D43+D44+D51</f>
        <v>267134</v>
      </c>
      <c r="E11" s="16">
        <f>E12+E43+E44+E51</f>
        <v>2684600</v>
      </c>
      <c r="F11" s="16">
        <f>F12+F43+F44+F51</f>
        <v>270175</v>
      </c>
      <c r="G11" s="20">
        <f>E11/C11</f>
        <v>1.0936191967932019</v>
      </c>
      <c r="H11" s="20">
        <f>F11/D11</f>
        <v>1.0113837998906916</v>
      </c>
    </row>
    <row r="12" spans="1:8" ht="15">
      <c r="A12" s="2" t="s">
        <v>8</v>
      </c>
      <c r="B12" s="3" t="s">
        <v>47</v>
      </c>
      <c r="C12" s="16">
        <f>C13+C14+C15+C16+C20+C21+C24+C25+C26+C31+C32+C33+C34+C35+C36+C37+C38+C39+C40+C41+C42</f>
        <v>2454785</v>
      </c>
      <c r="D12" s="16">
        <f>D13+D14+D15+D16+D20+D21+D24+D25+D26+D31+D32+D33+D34+D35+D36+D37+D38+D39+D40+D41+D42</f>
        <v>267134</v>
      </c>
      <c r="E12" s="16">
        <f>E13+E14+E15+E16+E20+E21+E24+E25+E26+E31+E32+E33+E34+E35+E36+E37+E38+E39+E40+E41+E42</f>
        <v>2684600</v>
      </c>
      <c r="F12" s="16">
        <f>F13+F14+F15+F16+F20+F21+F24+F25+F26+F31+F32+F33+F34+F35+F36+F37+F38+F39+F40+F41+F42</f>
        <v>270175</v>
      </c>
      <c r="G12" s="20">
        <f aca="true" t="shared" si="0" ref="G12:G38">E12/C12</f>
        <v>1.0936191967932019</v>
      </c>
      <c r="H12" s="20">
        <f>F12/D12</f>
        <v>1.0113837998906916</v>
      </c>
    </row>
    <row r="13" spans="1:8" ht="30">
      <c r="A13" s="5">
        <v>1</v>
      </c>
      <c r="B13" s="4" t="s">
        <v>200</v>
      </c>
      <c r="C13" s="17"/>
      <c r="D13" s="17"/>
      <c r="E13" s="17"/>
      <c r="F13" s="17"/>
      <c r="G13" s="20"/>
      <c r="H13" s="20"/>
    </row>
    <row r="14" spans="1:8" ht="30">
      <c r="A14" s="5">
        <v>2</v>
      </c>
      <c r="B14" s="4" t="s">
        <v>201</v>
      </c>
      <c r="C14" s="17"/>
      <c r="D14" s="17"/>
      <c r="E14" s="17"/>
      <c r="F14" s="17"/>
      <c r="G14" s="20"/>
      <c r="H14" s="20"/>
    </row>
    <row r="15" spans="1:8" ht="45">
      <c r="A15" s="5">
        <v>3</v>
      </c>
      <c r="B15" s="4" t="s">
        <v>202</v>
      </c>
      <c r="C15" s="17"/>
      <c r="D15" s="17"/>
      <c r="E15" s="17"/>
      <c r="F15" s="17"/>
      <c r="G15" s="20"/>
      <c r="H15" s="20"/>
    </row>
    <row r="16" spans="1:8" ht="30">
      <c r="A16" s="5">
        <v>4</v>
      </c>
      <c r="B16" s="4" t="s">
        <v>203</v>
      </c>
      <c r="C16" s="17">
        <f>SUM(C17:C19)</f>
        <v>810350</v>
      </c>
      <c r="D16" s="17">
        <f>SUM(D17:D19)</f>
        <v>145384</v>
      </c>
      <c r="E16" s="17">
        <f>SUM(E17:E19)</f>
        <v>950000</v>
      </c>
      <c r="F16" s="17">
        <f>SUM(F17:F19)</f>
        <v>170496</v>
      </c>
      <c r="G16" s="21">
        <f t="shared" si="0"/>
        <v>1.1723329425556859</v>
      </c>
      <c r="H16" s="21">
        <f>F16/D16</f>
        <v>1.1727287734551257</v>
      </c>
    </row>
    <row r="17" spans="1:8" ht="15">
      <c r="A17" s="13"/>
      <c r="B17" s="14" t="s">
        <v>204</v>
      </c>
      <c r="C17" s="18">
        <v>594225</v>
      </c>
      <c r="D17" s="18">
        <v>106960</v>
      </c>
      <c r="E17" s="18">
        <v>689800</v>
      </c>
      <c r="F17" s="18">
        <v>124164</v>
      </c>
      <c r="G17" s="37">
        <f t="shared" si="0"/>
        <v>1.160839749253229</v>
      </c>
      <c r="H17" s="37">
        <f>F17/D17</f>
        <v>1.1608451757666418</v>
      </c>
    </row>
    <row r="18" spans="1:8" ht="15">
      <c r="A18" s="13"/>
      <c r="B18" s="14" t="s">
        <v>205</v>
      </c>
      <c r="C18" s="18">
        <v>213465</v>
      </c>
      <c r="D18" s="18">
        <v>38424</v>
      </c>
      <c r="E18" s="18">
        <v>257400</v>
      </c>
      <c r="F18" s="18">
        <v>46332</v>
      </c>
      <c r="G18" s="37">
        <f t="shared" si="0"/>
        <v>1.2058182840278266</v>
      </c>
      <c r="H18" s="37">
        <f>F18/D18</f>
        <v>1.2058088694565896</v>
      </c>
    </row>
    <row r="19" spans="1:8" ht="15">
      <c r="A19" s="13"/>
      <c r="B19" s="14" t="s">
        <v>206</v>
      </c>
      <c r="C19" s="18">
        <v>2660</v>
      </c>
      <c r="D19" s="18"/>
      <c r="E19" s="18">
        <v>2800</v>
      </c>
      <c r="F19" s="18"/>
      <c r="G19" s="21">
        <f t="shared" si="0"/>
        <v>1.0526315789473684</v>
      </c>
      <c r="H19" s="21"/>
    </row>
    <row r="20" spans="1:8" ht="15">
      <c r="A20" s="5">
        <v>5</v>
      </c>
      <c r="B20" s="4" t="s">
        <v>48</v>
      </c>
      <c r="C20" s="17">
        <v>277426</v>
      </c>
      <c r="D20" s="17"/>
      <c r="E20" s="17">
        <v>310000</v>
      </c>
      <c r="F20" s="17"/>
      <c r="G20" s="21">
        <f t="shared" si="0"/>
        <v>1.117415094475644</v>
      </c>
      <c r="H20" s="21"/>
    </row>
    <row r="21" spans="1:8" ht="15">
      <c r="A21" s="5">
        <v>6</v>
      </c>
      <c r="B21" s="4" t="s">
        <v>49</v>
      </c>
      <c r="C21" s="17">
        <f>SUM(C22:C23)</f>
        <v>40</v>
      </c>
      <c r="D21" s="17">
        <f>SUM(D22:D23)</f>
        <v>0</v>
      </c>
      <c r="E21" s="17">
        <f>SUM(E22:E23)</f>
        <v>0</v>
      </c>
      <c r="F21" s="17">
        <f>SUM(F22:F23)</f>
        <v>0</v>
      </c>
      <c r="G21" s="21"/>
      <c r="H21" s="21"/>
    </row>
    <row r="22" spans="1:8" ht="60">
      <c r="A22" s="5"/>
      <c r="B22" s="14" t="s">
        <v>50</v>
      </c>
      <c r="C22" s="17">
        <v>40</v>
      </c>
      <c r="D22" s="17"/>
      <c r="E22" s="17"/>
      <c r="F22" s="17"/>
      <c r="G22" s="20"/>
      <c r="H22" s="20"/>
    </row>
    <row r="23" spans="1:8" ht="30">
      <c r="A23" s="5"/>
      <c r="B23" s="14" t="s">
        <v>51</v>
      </c>
      <c r="C23" s="17"/>
      <c r="D23" s="17"/>
      <c r="E23" s="17"/>
      <c r="F23" s="17"/>
      <c r="G23" s="20"/>
      <c r="H23" s="20"/>
    </row>
    <row r="24" spans="1:8" ht="15">
      <c r="A24" s="5">
        <v>7</v>
      </c>
      <c r="B24" s="4" t="s">
        <v>209</v>
      </c>
      <c r="C24" s="17">
        <v>30758</v>
      </c>
      <c r="D24" s="17">
        <v>30758</v>
      </c>
      <c r="E24" s="17">
        <v>29499</v>
      </c>
      <c r="F24" s="17">
        <v>29499</v>
      </c>
      <c r="G24" s="21">
        <f t="shared" si="0"/>
        <v>0.9590675596592756</v>
      </c>
      <c r="H24" s="21">
        <f>F24/D24</f>
        <v>0.9590675596592756</v>
      </c>
    </row>
    <row r="25" spans="1:8" ht="15">
      <c r="A25" s="5">
        <v>8</v>
      </c>
      <c r="B25" s="4" t="s">
        <v>52</v>
      </c>
      <c r="C25" s="17">
        <v>269465</v>
      </c>
      <c r="D25" s="17">
        <v>54299</v>
      </c>
      <c r="E25" s="17">
        <v>330000</v>
      </c>
      <c r="F25" s="17">
        <v>41250</v>
      </c>
      <c r="G25" s="21">
        <f t="shared" si="0"/>
        <v>1.2246488412224221</v>
      </c>
      <c r="H25" s="21">
        <f>F25/D25</f>
        <v>0.7596824987568832</v>
      </c>
    </row>
    <row r="26" spans="1:8" ht="15">
      <c r="A26" s="5">
        <v>9</v>
      </c>
      <c r="B26" s="4" t="s">
        <v>53</v>
      </c>
      <c r="C26" s="17">
        <f>SUM(C27:C30)</f>
        <v>43000</v>
      </c>
      <c r="D26" s="17">
        <f>SUM(D27:D30)</f>
        <v>7000</v>
      </c>
      <c r="E26" s="17">
        <f>SUM(E27:E30)</f>
        <v>60501</v>
      </c>
      <c r="F26" s="17">
        <f>SUM(F27:F30)</f>
        <v>6125</v>
      </c>
      <c r="G26" s="21">
        <f t="shared" si="0"/>
        <v>1.407</v>
      </c>
      <c r="H26" s="21">
        <f>F26/D26</f>
        <v>0.875</v>
      </c>
    </row>
    <row r="27" spans="1:8" ht="30">
      <c r="A27" s="5"/>
      <c r="B27" s="14" t="s">
        <v>54</v>
      </c>
      <c r="C27" s="17">
        <v>36000</v>
      </c>
      <c r="D27" s="17"/>
      <c r="E27" s="17">
        <v>54376</v>
      </c>
      <c r="F27" s="17"/>
      <c r="G27" s="21">
        <f t="shared" si="0"/>
        <v>1.5104444444444445</v>
      </c>
      <c r="H27" s="20"/>
    </row>
    <row r="28" spans="1:8" ht="15">
      <c r="A28" s="5"/>
      <c r="B28" s="14" t="s">
        <v>55</v>
      </c>
      <c r="C28" s="17"/>
      <c r="D28" s="17"/>
      <c r="E28" s="17"/>
      <c r="F28" s="17"/>
      <c r="G28" s="20"/>
      <c r="H28" s="20"/>
    </row>
    <row r="29" spans="1:8" ht="15">
      <c r="A29" s="5"/>
      <c r="B29" s="14" t="s">
        <v>56</v>
      </c>
      <c r="C29" s="17">
        <v>4000</v>
      </c>
      <c r="D29" s="17">
        <v>4000</v>
      </c>
      <c r="E29" s="17">
        <v>3176</v>
      </c>
      <c r="F29" s="17">
        <v>3176</v>
      </c>
      <c r="G29" s="21">
        <f t="shared" si="0"/>
        <v>0.794</v>
      </c>
      <c r="H29" s="21">
        <f>F29/D29</f>
        <v>0.794</v>
      </c>
    </row>
    <row r="30" spans="1:8" ht="30">
      <c r="A30" s="5"/>
      <c r="B30" s="14" t="s">
        <v>57</v>
      </c>
      <c r="C30" s="17">
        <v>3000</v>
      </c>
      <c r="D30" s="17">
        <v>3000</v>
      </c>
      <c r="E30" s="17">
        <v>2949</v>
      </c>
      <c r="F30" s="17">
        <v>2949</v>
      </c>
      <c r="G30" s="21">
        <f t="shared" si="0"/>
        <v>0.983</v>
      </c>
      <c r="H30" s="21">
        <f>F30/D30</f>
        <v>0.983</v>
      </c>
    </row>
    <row r="31" spans="1:8" ht="30">
      <c r="A31" s="5">
        <v>10</v>
      </c>
      <c r="B31" s="4" t="s">
        <v>58</v>
      </c>
      <c r="C31" s="17"/>
      <c r="D31" s="17"/>
      <c r="E31" s="17"/>
      <c r="F31" s="17"/>
      <c r="G31" s="20"/>
      <c r="H31" s="20"/>
    </row>
    <row r="32" spans="1:8" ht="30">
      <c r="A32" s="5">
        <v>11</v>
      </c>
      <c r="B32" s="4" t="s">
        <v>59</v>
      </c>
      <c r="C32" s="17">
        <v>8000</v>
      </c>
      <c r="D32" s="17">
        <v>8000</v>
      </c>
      <c r="E32" s="17">
        <v>11800</v>
      </c>
      <c r="F32" s="17">
        <v>11800</v>
      </c>
      <c r="G32" s="21">
        <f t="shared" si="0"/>
        <v>1.475</v>
      </c>
      <c r="H32" s="21">
        <f>F32/D32</f>
        <v>1.475</v>
      </c>
    </row>
    <row r="33" spans="1:8" ht="30">
      <c r="A33" s="5">
        <v>12</v>
      </c>
      <c r="B33" s="4" t="s">
        <v>60</v>
      </c>
      <c r="C33" s="17">
        <v>61000</v>
      </c>
      <c r="D33" s="17"/>
      <c r="E33" s="17">
        <v>64000</v>
      </c>
      <c r="F33" s="17"/>
      <c r="G33" s="21">
        <f t="shared" si="0"/>
        <v>1.0491803278688525</v>
      </c>
      <c r="H33" s="20"/>
    </row>
    <row r="34" spans="1:8" ht="15">
      <c r="A34" s="5">
        <v>13</v>
      </c>
      <c r="B34" s="4" t="s">
        <v>61</v>
      </c>
      <c r="C34" s="17">
        <v>900000</v>
      </c>
      <c r="D34" s="17"/>
      <c r="E34" s="17">
        <v>867000</v>
      </c>
      <c r="F34" s="17"/>
      <c r="G34" s="21">
        <f t="shared" si="0"/>
        <v>0.9633333333333334</v>
      </c>
      <c r="H34" s="20"/>
    </row>
    <row r="35" spans="1:8" ht="45">
      <c r="A35" s="5">
        <v>14</v>
      </c>
      <c r="B35" s="4" t="s">
        <v>62</v>
      </c>
      <c r="C35" s="17"/>
      <c r="D35" s="17"/>
      <c r="E35" s="17"/>
      <c r="F35" s="17"/>
      <c r="G35" s="20"/>
      <c r="H35" s="20"/>
    </row>
    <row r="36" spans="1:8" ht="30">
      <c r="A36" s="5">
        <v>15</v>
      </c>
      <c r="B36" s="4" t="s">
        <v>63</v>
      </c>
      <c r="C36" s="17"/>
      <c r="D36" s="17"/>
      <c r="E36" s="17"/>
      <c r="F36" s="17"/>
      <c r="G36" s="20"/>
      <c r="H36" s="20"/>
    </row>
    <row r="37" spans="1:8" ht="30">
      <c r="A37" s="5">
        <v>16</v>
      </c>
      <c r="B37" s="4" t="s">
        <v>64</v>
      </c>
      <c r="C37" s="17"/>
      <c r="D37" s="17"/>
      <c r="E37" s="17"/>
      <c r="F37" s="17"/>
      <c r="G37" s="20"/>
      <c r="H37" s="20"/>
    </row>
    <row r="38" spans="1:8" ht="15">
      <c r="A38" s="5">
        <v>17</v>
      </c>
      <c r="B38" s="4" t="s">
        <v>65</v>
      </c>
      <c r="C38" s="17">
        <v>49199</v>
      </c>
      <c r="D38" s="17">
        <v>20513</v>
      </c>
      <c r="E38" s="17">
        <v>61800</v>
      </c>
      <c r="F38" s="17">
        <v>11005</v>
      </c>
      <c r="G38" s="21">
        <f t="shared" si="0"/>
        <v>1.2561230919327628</v>
      </c>
      <c r="H38" s="21">
        <f>F38/D38</f>
        <v>0.5364890557207624</v>
      </c>
    </row>
    <row r="39" spans="1:8" ht="30">
      <c r="A39" s="5">
        <v>18</v>
      </c>
      <c r="B39" s="4" t="s">
        <v>66</v>
      </c>
      <c r="C39" s="17"/>
      <c r="D39" s="17"/>
      <c r="E39" s="17"/>
      <c r="F39" s="17"/>
      <c r="G39" s="20"/>
      <c r="H39" s="20"/>
    </row>
    <row r="40" spans="1:8" ht="15">
      <c r="A40" s="5">
        <v>19</v>
      </c>
      <c r="B40" s="4" t="s">
        <v>208</v>
      </c>
      <c r="C40" s="17"/>
      <c r="D40" s="17"/>
      <c r="E40" s="17"/>
      <c r="F40" s="17"/>
      <c r="G40" s="20"/>
      <c r="H40" s="20"/>
    </row>
    <row r="41" spans="1:8" ht="90">
      <c r="A41" s="5">
        <v>20</v>
      </c>
      <c r="B41" s="15" t="s">
        <v>207</v>
      </c>
      <c r="C41" s="9"/>
      <c r="D41" s="9"/>
      <c r="E41" s="9"/>
      <c r="F41" s="17"/>
      <c r="G41" s="20"/>
      <c r="H41" s="20"/>
    </row>
    <row r="42" spans="1:8" ht="15">
      <c r="A42" s="5">
        <v>21</v>
      </c>
      <c r="B42" s="4" t="s">
        <v>371</v>
      </c>
      <c r="C42" s="17">
        <v>5547</v>
      </c>
      <c r="D42" s="17">
        <v>1180</v>
      </c>
      <c r="E42" s="17"/>
      <c r="F42" s="17"/>
      <c r="G42" s="20"/>
      <c r="H42" s="20"/>
    </row>
    <row r="43" spans="1:8" ht="15">
      <c r="A43" s="2" t="s">
        <v>13</v>
      </c>
      <c r="B43" s="3" t="s">
        <v>67</v>
      </c>
      <c r="C43" s="16"/>
      <c r="D43" s="16"/>
      <c r="E43" s="16"/>
      <c r="F43" s="16"/>
      <c r="G43" s="20"/>
      <c r="H43" s="20"/>
    </row>
    <row r="44" spans="1:8" ht="28.5">
      <c r="A44" s="2" t="s">
        <v>17</v>
      </c>
      <c r="B44" s="3" t="s">
        <v>68</v>
      </c>
      <c r="C44" s="16">
        <f>SUM(C45:C50)</f>
        <v>0</v>
      </c>
      <c r="D44" s="16">
        <f>SUM(D45:D50)</f>
        <v>0</v>
      </c>
      <c r="E44" s="16">
        <f>SUM(E45:E50)</f>
        <v>0</v>
      </c>
      <c r="F44" s="16">
        <f>SUM(F45:F50)</f>
        <v>0</v>
      </c>
      <c r="G44" s="20"/>
      <c r="H44" s="20"/>
    </row>
    <row r="45" spans="1:8" ht="30">
      <c r="A45" s="5">
        <v>1</v>
      </c>
      <c r="B45" s="4" t="s">
        <v>69</v>
      </c>
      <c r="C45" s="17"/>
      <c r="D45" s="17"/>
      <c r="E45" s="17"/>
      <c r="F45" s="17"/>
      <c r="G45" s="20"/>
      <c r="H45" s="20"/>
    </row>
    <row r="46" spans="1:8" ht="15">
      <c r="A46" s="5">
        <v>2</v>
      </c>
      <c r="B46" s="4" t="s">
        <v>70</v>
      </c>
      <c r="C46" s="17"/>
      <c r="D46" s="17"/>
      <c r="E46" s="17"/>
      <c r="F46" s="17"/>
      <c r="G46" s="20"/>
      <c r="H46" s="20"/>
    </row>
    <row r="47" spans="1:8" ht="15">
      <c r="A47" s="5">
        <v>3</v>
      </c>
      <c r="B47" s="4" t="s">
        <v>71</v>
      </c>
      <c r="C47" s="17"/>
      <c r="D47" s="17"/>
      <c r="E47" s="17"/>
      <c r="F47" s="17"/>
      <c r="G47" s="20"/>
      <c r="H47" s="20"/>
    </row>
    <row r="48" spans="1:8" ht="30">
      <c r="A48" s="5">
        <v>4</v>
      </c>
      <c r="B48" s="4" t="s">
        <v>72</v>
      </c>
      <c r="C48" s="17"/>
      <c r="D48" s="17"/>
      <c r="E48" s="17"/>
      <c r="F48" s="17"/>
      <c r="G48" s="20"/>
      <c r="H48" s="20"/>
    </row>
    <row r="49" spans="1:8" ht="30">
      <c r="A49" s="5">
        <v>5</v>
      </c>
      <c r="B49" s="4" t="s">
        <v>51</v>
      </c>
      <c r="C49" s="17"/>
      <c r="D49" s="17"/>
      <c r="E49" s="17"/>
      <c r="F49" s="17"/>
      <c r="G49" s="20"/>
      <c r="H49" s="20"/>
    </row>
    <row r="50" spans="1:8" ht="15">
      <c r="A50" s="5">
        <v>6</v>
      </c>
      <c r="B50" s="4" t="s">
        <v>73</v>
      </c>
      <c r="C50" s="17"/>
      <c r="D50" s="17"/>
      <c r="E50" s="17"/>
      <c r="F50" s="17"/>
      <c r="G50" s="20"/>
      <c r="H50" s="20"/>
    </row>
    <row r="51" spans="1:8" ht="15">
      <c r="A51" s="2" t="s">
        <v>19</v>
      </c>
      <c r="B51" s="3" t="s">
        <v>74</v>
      </c>
      <c r="C51" s="16"/>
      <c r="D51" s="16"/>
      <c r="E51" s="16"/>
      <c r="F51" s="16"/>
      <c r="G51" s="20"/>
      <c r="H51" s="20"/>
    </row>
  </sheetData>
  <sheetProtection/>
  <mergeCells count="10">
    <mergeCell ref="A1:C1"/>
    <mergeCell ref="A5:H5"/>
    <mergeCell ref="A4:H4"/>
    <mergeCell ref="A8:A9"/>
    <mergeCell ref="B8:B9"/>
    <mergeCell ref="C8:D8"/>
    <mergeCell ref="E8:F8"/>
    <mergeCell ref="G8:H8"/>
    <mergeCell ref="F1:H1"/>
    <mergeCell ref="A2:C2"/>
  </mergeCells>
  <printOptions/>
  <pageMargins left="0.15748031496062992" right="0.15748031496062992" top="0.2362204724409449" bottom="0.1968503937007874" header="0.15748031496062992" footer="0.1574803149606299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J14" sqref="J14"/>
    </sheetView>
  </sheetViews>
  <sheetFormatPr defaultColWidth="9.140625" defaultRowHeight="15"/>
  <cols>
    <col min="1" max="1" width="5.00390625" style="6" customWidth="1"/>
    <col min="2" max="2" width="24.28125" style="6" customWidth="1"/>
    <col min="3" max="4" width="18.28125" style="6" customWidth="1"/>
    <col min="5" max="5" width="9.140625" style="6" customWidth="1"/>
    <col min="6" max="6" width="9.57421875" style="6" bestFit="1" customWidth="1"/>
    <col min="7" max="16384" width="9.140625" style="6" customWidth="1"/>
  </cols>
  <sheetData>
    <row r="1" spans="1:6" ht="15">
      <c r="A1" s="52" t="s">
        <v>375</v>
      </c>
      <c r="B1" s="52"/>
      <c r="C1" s="52"/>
      <c r="E1" s="52" t="s">
        <v>374</v>
      </c>
      <c r="F1" s="52"/>
    </row>
    <row r="3" spans="1:6" ht="39.75" customHeight="1">
      <c r="A3" s="48" t="s">
        <v>210</v>
      </c>
      <c r="B3" s="48"/>
      <c r="C3" s="48"/>
      <c r="D3" s="48"/>
      <c r="E3" s="48"/>
      <c r="F3" s="48"/>
    </row>
    <row r="4" spans="1:6" ht="30.75" customHeight="1">
      <c r="A4" s="54" t="s">
        <v>376</v>
      </c>
      <c r="B4" s="54"/>
      <c r="C4" s="54"/>
      <c r="D4" s="54"/>
      <c r="E4" s="54"/>
      <c r="F4" s="54"/>
    </row>
    <row r="5" spans="1:6" ht="15">
      <c r="A5" s="19"/>
      <c r="B5" s="19"/>
      <c r="C5" s="19"/>
      <c r="D5" s="19"/>
      <c r="E5" s="19"/>
      <c r="F5" s="19"/>
    </row>
    <row r="6" ht="15">
      <c r="F6" s="8" t="s">
        <v>192</v>
      </c>
    </row>
    <row r="7" spans="1:6" ht="15">
      <c r="A7" s="50" t="s">
        <v>0</v>
      </c>
      <c r="B7" s="50" t="s">
        <v>1</v>
      </c>
      <c r="C7" s="50" t="s">
        <v>211</v>
      </c>
      <c r="D7" s="50" t="s">
        <v>191</v>
      </c>
      <c r="E7" s="50" t="s">
        <v>75</v>
      </c>
      <c r="F7" s="50"/>
    </row>
    <row r="8" spans="1:6" ht="28.5">
      <c r="A8" s="50"/>
      <c r="B8" s="50"/>
      <c r="C8" s="50"/>
      <c r="D8" s="50"/>
      <c r="E8" s="2" t="s">
        <v>3</v>
      </c>
      <c r="F8" s="2" t="s">
        <v>4</v>
      </c>
    </row>
    <row r="9" spans="1:6" ht="15">
      <c r="A9" s="2" t="s">
        <v>5</v>
      </c>
      <c r="B9" s="2" t="s">
        <v>6</v>
      </c>
      <c r="C9" s="2">
        <v>1</v>
      </c>
      <c r="D9" s="2">
        <v>2</v>
      </c>
      <c r="E9" s="2" t="s">
        <v>76</v>
      </c>
      <c r="F9" s="2" t="s">
        <v>77</v>
      </c>
    </row>
    <row r="10" spans="1:6" ht="15">
      <c r="A10" s="2"/>
      <c r="B10" s="3" t="s">
        <v>23</v>
      </c>
      <c r="C10" s="16">
        <f>C11+C30+C35</f>
        <v>868793</v>
      </c>
      <c r="D10" s="16">
        <f>D11+D30+D35</f>
        <v>977502</v>
      </c>
      <c r="E10" s="16">
        <f>D10-C10</f>
        <v>108709</v>
      </c>
      <c r="F10" s="20">
        <f>D10/C10</f>
        <v>1.125126468560405</v>
      </c>
    </row>
    <row r="11" spans="1:6" ht="15">
      <c r="A11" s="2" t="s">
        <v>5</v>
      </c>
      <c r="B11" s="3" t="s">
        <v>78</v>
      </c>
      <c r="C11" s="16">
        <f>C12+C22+C26+C27+C28+C29</f>
        <v>865927</v>
      </c>
      <c r="D11" s="16">
        <f>D12+D22+D26+D27+D28+D29</f>
        <v>974014</v>
      </c>
      <c r="E11" s="16">
        <f>D11-C11</f>
        <v>108087</v>
      </c>
      <c r="F11" s="20">
        <f>D11/C11</f>
        <v>1.124822300263186</v>
      </c>
    </row>
    <row r="12" spans="1:6" ht="15">
      <c r="A12" s="2" t="s">
        <v>8</v>
      </c>
      <c r="B12" s="3" t="s">
        <v>143</v>
      </c>
      <c r="C12" s="17"/>
      <c r="D12" s="17"/>
      <c r="E12" s="17"/>
      <c r="F12" s="21"/>
    </row>
    <row r="13" spans="1:6" ht="15">
      <c r="A13" s="5">
        <v>1</v>
      </c>
      <c r="B13" s="4" t="s">
        <v>79</v>
      </c>
      <c r="C13" s="17"/>
      <c r="D13" s="17"/>
      <c r="E13" s="17"/>
      <c r="F13" s="21"/>
    </row>
    <row r="14" spans="1:6" ht="30">
      <c r="A14" s="5"/>
      <c r="B14" s="14" t="s">
        <v>80</v>
      </c>
      <c r="C14" s="17"/>
      <c r="D14" s="17"/>
      <c r="E14" s="17"/>
      <c r="F14" s="21"/>
    </row>
    <row r="15" spans="1:6" ht="30">
      <c r="A15" s="5" t="s">
        <v>10</v>
      </c>
      <c r="B15" s="14" t="s">
        <v>81</v>
      </c>
      <c r="C15" s="17"/>
      <c r="D15" s="17"/>
      <c r="E15" s="17"/>
      <c r="F15" s="21"/>
    </row>
    <row r="16" spans="1:6" ht="30">
      <c r="A16" s="5" t="s">
        <v>10</v>
      </c>
      <c r="B16" s="14" t="s">
        <v>82</v>
      </c>
      <c r="C16" s="17"/>
      <c r="D16" s="17"/>
      <c r="E16" s="17"/>
      <c r="F16" s="21"/>
    </row>
    <row r="17" spans="1:6" ht="30">
      <c r="A17" s="5"/>
      <c r="B17" s="14" t="s">
        <v>83</v>
      </c>
      <c r="C17" s="17"/>
      <c r="D17" s="17"/>
      <c r="E17" s="17"/>
      <c r="F17" s="21"/>
    </row>
    <row r="18" spans="1:6" ht="30">
      <c r="A18" s="5" t="s">
        <v>10</v>
      </c>
      <c r="B18" s="14" t="s">
        <v>84</v>
      </c>
      <c r="C18" s="17"/>
      <c r="D18" s="17"/>
      <c r="E18" s="17"/>
      <c r="F18" s="21"/>
    </row>
    <row r="19" spans="1:6" ht="30">
      <c r="A19" s="5" t="s">
        <v>10</v>
      </c>
      <c r="B19" s="14" t="s">
        <v>85</v>
      </c>
      <c r="C19" s="17"/>
      <c r="D19" s="17"/>
      <c r="E19" s="17"/>
      <c r="F19" s="21"/>
    </row>
    <row r="20" spans="1:6" ht="120">
      <c r="A20" s="5">
        <v>2</v>
      </c>
      <c r="B20" s="4" t="s">
        <v>86</v>
      </c>
      <c r="C20" s="17"/>
      <c r="D20" s="17"/>
      <c r="E20" s="17"/>
      <c r="F20" s="21"/>
    </row>
    <row r="21" spans="1:6" ht="15">
      <c r="A21" s="5">
        <v>3</v>
      </c>
      <c r="B21" s="4" t="s">
        <v>87</v>
      </c>
      <c r="C21" s="17"/>
      <c r="D21" s="17"/>
      <c r="E21" s="17"/>
      <c r="F21" s="21"/>
    </row>
    <row r="22" spans="1:6" ht="15">
      <c r="A22" s="2" t="s">
        <v>13</v>
      </c>
      <c r="B22" s="3" t="s">
        <v>25</v>
      </c>
      <c r="C22" s="16">
        <v>840550</v>
      </c>
      <c r="D22" s="16">
        <v>947741</v>
      </c>
      <c r="E22" s="16">
        <f>D22-C22</f>
        <v>107191</v>
      </c>
      <c r="F22" s="20">
        <f>D22/C22</f>
        <v>1.1275248349295104</v>
      </c>
    </row>
    <row r="23" spans="1:6" ht="15">
      <c r="A23" s="5"/>
      <c r="B23" s="14" t="s">
        <v>88</v>
      </c>
      <c r="C23" s="17"/>
      <c r="D23" s="17"/>
      <c r="E23" s="17"/>
      <c r="F23" s="21"/>
    </row>
    <row r="24" spans="1:6" ht="30">
      <c r="A24" s="5">
        <v>1</v>
      </c>
      <c r="B24" s="14" t="s">
        <v>81</v>
      </c>
      <c r="C24" s="17">
        <v>442380</v>
      </c>
      <c r="D24" s="17">
        <v>478363</v>
      </c>
      <c r="E24" s="17">
        <f>D24-C24</f>
        <v>35983</v>
      </c>
      <c r="F24" s="21">
        <f>D24/C24</f>
        <v>1.0813395723133956</v>
      </c>
    </row>
    <row r="25" spans="1:6" ht="30">
      <c r="A25" s="5">
        <v>2</v>
      </c>
      <c r="B25" s="14" t="s">
        <v>89</v>
      </c>
      <c r="C25" s="17"/>
      <c r="D25" s="17"/>
      <c r="E25" s="17"/>
      <c r="F25" s="21"/>
    </row>
    <row r="26" spans="1:6" ht="42.75">
      <c r="A26" s="2" t="s">
        <v>17</v>
      </c>
      <c r="B26" s="3" t="s">
        <v>26</v>
      </c>
      <c r="C26" s="17"/>
      <c r="D26" s="17"/>
      <c r="E26" s="17"/>
      <c r="F26" s="21"/>
    </row>
    <row r="27" spans="1:6" ht="28.5">
      <c r="A27" s="2" t="s">
        <v>19</v>
      </c>
      <c r="B27" s="3" t="s">
        <v>27</v>
      </c>
      <c r="C27" s="17"/>
      <c r="D27" s="17"/>
      <c r="E27" s="17"/>
      <c r="F27" s="21"/>
    </row>
    <row r="28" spans="1:6" ht="15">
      <c r="A28" s="2" t="s">
        <v>21</v>
      </c>
      <c r="B28" s="3" t="s">
        <v>28</v>
      </c>
      <c r="C28" s="16">
        <v>25377</v>
      </c>
      <c r="D28" s="16">
        <v>26273</v>
      </c>
      <c r="E28" s="16">
        <f>D28-C28</f>
        <v>896</v>
      </c>
      <c r="F28" s="20">
        <f>D28/C28</f>
        <v>1.0353075619655594</v>
      </c>
    </row>
    <row r="29" spans="1:6" ht="28.5">
      <c r="A29" s="2" t="s">
        <v>90</v>
      </c>
      <c r="B29" s="3" t="s">
        <v>29</v>
      </c>
      <c r="C29" s="17"/>
      <c r="D29" s="17"/>
      <c r="E29" s="17"/>
      <c r="F29" s="21"/>
    </row>
    <row r="30" spans="1:6" ht="28.5">
      <c r="A30" s="2" t="s">
        <v>6</v>
      </c>
      <c r="B30" s="3" t="s">
        <v>91</v>
      </c>
      <c r="C30" s="16">
        <f>C31+C33</f>
        <v>2866</v>
      </c>
      <c r="D30" s="16">
        <f>D31+D33</f>
        <v>3488</v>
      </c>
      <c r="E30" s="16">
        <f>D30-C30</f>
        <v>622</v>
      </c>
      <c r="F30" s="20">
        <f>D30/C30</f>
        <v>1.2170272156315423</v>
      </c>
    </row>
    <row r="31" spans="1:6" ht="28.5">
      <c r="A31" s="2" t="s">
        <v>8</v>
      </c>
      <c r="B31" s="3" t="s">
        <v>31</v>
      </c>
      <c r="C31" s="16">
        <f>C32</f>
        <v>1966</v>
      </c>
      <c r="D31" s="16">
        <f>D32</f>
        <v>2971</v>
      </c>
      <c r="E31" s="16">
        <f>D31-C31</f>
        <v>1005</v>
      </c>
      <c r="F31" s="20">
        <f>D31/C31</f>
        <v>1.5111902339776195</v>
      </c>
    </row>
    <row r="32" spans="1:6" ht="45">
      <c r="A32" s="5"/>
      <c r="B32" s="4" t="s">
        <v>212</v>
      </c>
      <c r="C32" s="17">
        <v>1966</v>
      </c>
      <c r="D32" s="17">
        <v>2971</v>
      </c>
      <c r="E32" s="17">
        <f>D32-C32</f>
        <v>1005</v>
      </c>
      <c r="F32" s="21">
        <f>D32/C32</f>
        <v>1.5111902339776195</v>
      </c>
    </row>
    <row r="33" spans="1:6" ht="28.5">
      <c r="A33" s="2" t="s">
        <v>13</v>
      </c>
      <c r="B33" s="3" t="s">
        <v>92</v>
      </c>
      <c r="C33" s="16">
        <f>C34</f>
        <v>900</v>
      </c>
      <c r="D33" s="16">
        <f>D34</f>
        <v>517</v>
      </c>
      <c r="E33" s="16">
        <f>D33-C33</f>
        <v>-383</v>
      </c>
      <c r="F33" s="20">
        <f>D33/C33</f>
        <v>0.5744444444444444</v>
      </c>
    </row>
    <row r="34" spans="1:6" ht="30">
      <c r="A34" s="5"/>
      <c r="B34" s="4" t="s">
        <v>213</v>
      </c>
      <c r="C34" s="17">
        <v>900</v>
      </c>
      <c r="D34" s="17">
        <v>517</v>
      </c>
      <c r="E34" s="17">
        <f>D34-C34</f>
        <v>-383</v>
      </c>
      <c r="F34" s="21">
        <f>D34/C34</f>
        <v>0.5744444444444444</v>
      </c>
    </row>
    <row r="35" spans="1:6" ht="28.5">
      <c r="A35" s="2" t="s">
        <v>34</v>
      </c>
      <c r="B35" s="3" t="s">
        <v>93</v>
      </c>
      <c r="C35" s="17"/>
      <c r="D35" s="17"/>
      <c r="E35" s="17"/>
      <c r="F35" s="21"/>
    </row>
  </sheetData>
  <sheetProtection/>
  <mergeCells count="9">
    <mergeCell ref="E1:F1"/>
    <mergeCell ref="A1:C1"/>
    <mergeCell ref="A4:F4"/>
    <mergeCell ref="A7:A8"/>
    <mergeCell ref="B7:B8"/>
    <mergeCell ref="C7:C8"/>
    <mergeCell ref="D7:D8"/>
    <mergeCell ref="E7:F7"/>
    <mergeCell ref="A3:F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42"/>
  <sheetViews>
    <sheetView zoomScalePageLayoutView="0" workbookViewId="0" topLeftCell="A1">
      <selection activeCell="A1" sqref="A1:C1"/>
    </sheetView>
  </sheetViews>
  <sheetFormatPr defaultColWidth="9.140625" defaultRowHeight="15"/>
  <cols>
    <col min="1" max="1" width="6.28125" style="6" customWidth="1"/>
    <col min="2" max="2" width="24.8515625" style="6" customWidth="1"/>
    <col min="3" max="5" width="15.421875" style="6" customWidth="1"/>
    <col min="6" max="6" width="9.140625" style="6" customWidth="1"/>
    <col min="7" max="7" width="10.57421875" style="6" customWidth="1"/>
    <col min="8" max="16384" width="9.140625" style="6" customWidth="1"/>
  </cols>
  <sheetData>
    <row r="1" spans="1:7" ht="15">
      <c r="A1" s="47" t="s">
        <v>375</v>
      </c>
      <c r="B1" s="47"/>
      <c r="C1" s="47"/>
      <c r="E1" s="51" t="s">
        <v>379</v>
      </c>
      <c r="F1" s="51"/>
      <c r="G1" s="51"/>
    </row>
    <row r="2" spans="1:7" ht="15">
      <c r="A2" s="52" t="s">
        <v>388</v>
      </c>
      <c r="B2" s="52"/>
      <c r="C2" s="52"/>
      <c r="E2" s="45"/>
      <c r="F2" s="45"/>
      <c r="G2" s="45"/>
    </row>
    <row r="4" spans="1:7" ht="36" customHeight="1">
      <c r="A4" s="48" t="s">
        <v>236</v>
      </c>
      <c r="B4" s="48"/>
      <c r="C4" s="48"/>
      <c r="D4" s="48"/>
      <c r="E4" s="48"/>
      <c r="F4" s="48"/>
      <c r="G4" s="48"/>
    </row>
    <row r="5" spans="1:7" ht="18" customHeight="1">
      <c r="A5" s="54" t="s">
        <v>380</v>
      </c>
      <c r="B5" s="54"/>
      <c r="C5" s="54"/>
      <c r="D5" s="54"/>
      <c r="E5" s="54"/>
      <c r="F5" s="54"/>
      <c r="G5" s="54"/>
    </row>
    <row r="6" spans="1:7" ht="13.5" customHeight="1">
      <c r="A6" s="22"/>
      <c r="B6" s="22"/>
      <c r="C6" s="22"/>
      <c r="D6" s="22"/>
      <c r="E6" s="22"/>
      <c r="F6" s="22"/>
      <c r="G6" s="22"/>
    </row>
    <row r="7" ht="15">
      <c r="G7" s="8" t="s">
        <v>192</v>
      </c>
    </row>
    <row r="8" spans="1:7" ht="15">
      <c r="A8" s="50" t="s">
        <v>0</v>
      </c>
      <c r="B8" s="50" t="s">
        <v>1</v>
      </c>
      <c r="C8" s="50" t="s">
        <v>211</v>
      </c>
      <c r="D8" s="50" t="s">
        <v>195</v>
      </c>
      <c r="E8" s="50" t="s">
        <v>191</v>
      </c>
      <c r="F8" s="50" t="s">
        <v>2</v>
      </c>
      <c r="G8" s="50"/>
    </row>
    <row r="9" spans="1:7" ht="28.5">
      <c r="A9" s="50"/>
      <c r="B9" s="50"/>
      <c r="C9" s="50"/>
      <c r="D9" s="50"/>
      <c r="E9" s="50"/>
      <c r="F9" s="2" t="s">
        <v>3</v>
      </c>
      <c r="G9" s="2" t="s">
        <v>4</v>
      </c>
    </row>
    <row r="10" spans="1:7" ht="15">
      <c r="A10" s="2" t="s">
        <v>5</v>
      </c>
      <c r="B10" s="2" t="s">
        <v>6</v>
      </c>
      <c r="C10" s="2">
        <v>1</v>
      </c>
      <c r="D10" s="2">
        <v>2</v>
      </c>
      <c r="E10" s="2">
        <v>3</v>
      </c>
      <c r="F10" s="2">
        <v>4</v>
      </c>
      <c r="G10" s="2">
        <v>5</v>
      </c>
    </row>
    <row r="11" spans="1:7" ht="15">
      <c r="A11" s="2" t="s">
        <v>5</v>
      </c>
      <c r="B11" s="3" t="s">
        <v>216</v>
      </c>
      <c r="C11" s="11"/>
      <c r="D11" s="11"/>
      <c r="E11" s="11"/>
      <c r="F11" s="11"/>
      <c r="G11" s="12"/>
    </row>
    <row r="12" spans="1:7" ht="15">
      <c r="A12" s="2" t="s">
        <v>8</v>
      </c>
      <c r="B12" s="3" t="s">
        <v>94</v>
      </c>
      <c r="C12" s="11">
        <f>C13+C14+C17+C18+C19+C20</f>
        <v>855723</v>
      </c>
      <c r="D12" s="11">
        <f>D13+D14+D17+D18+D19+D20</f>
        <v>1215298</v>
      </c>
      <c r="E12" s="11">
        <f>E13+E14+E17+E18+E19+E20</f>
        <v>956302</v>
      </c>
      <c r="F12" s="11">
        <f>E12-C12</f>
        <v>100579</v>
      </c>
      <c r="G12" s="12">
        <f>E12/C12</f>
        <v>1.1175368664860008</v>
      </c>
    </row>
    <row r="13" spans="1:7" ht="30">
      <c r="A13" s="5">
        <v>1</v>
      </c>
      <c r="B13" s="4" t="s">
        <v>95</v>
      </c>
      <c r="C13" s="9">
        <f>112590+40446+23400+27925+9635</f>
        <v>213996</v>
      </c>
      <c r="D13" s="9">
        <f>1180+145384+26658+54299+15000</f>
        <v>242521</v>
      </c>
      <c r="E13" s="9">
        <f>124164+46332+27070+41250+3176+9635</f>
        <v>251627</v>
      </c>
      <c r="F13" s="9">
        <f aca="true" t="shared" si="0" ref="F13:F38">E13-C13</f>
        <v>37631</v>
      </c>
      <c r="G13" s="10">
        <f aca="true" t="shared" si="1" ref="G13:G38">E13/C13</f>
        <v>1.175849081291239</v>
      </c>
    </row>
    <row r="14" spans="1:7" ht="30">
      <c r="A14" s="5">
        <v>2</v>
      </c>
      <c r="B14" s="4" t="s">
        <v>96</v>
      </c>
      <c r="C14" s="9">
        <f>C15+C16</f>
        <v>641727</v>
      </c>
      <c r="D14" s="9">
        <f>D15+D16</f>
        <v>697917</v>
      </c>
      <c r="E14" s="9">
        <f>E15+E16</f>
        <v>699031</v>
      </c>
      <c r="F14" s="9">
        <f t="shared" si="0"/>
        <v>57304</v>
      </c>
      <c r="G14" s="10">
        <f t="shared" si="1"/>
        <v>1.0892965388708906</v>
      </c>
    </row>
    <row r="15" spans="1:7" ht="30">
      <c r="A15" s="5" t="s">
        <v>10</v>
      </c>
      <c r="B15" s="4" t="s">
        <v>15</v>
      </c>
      <c r="C15" s="9">
        <v>641727</v>
      </c>
      <c r="D15" s="9">
        <v>641727</v>
      </c>
      <c r="E15" s="9">
        <v>641727</v>
      </c>
      <c r="F15" s="9"/>
      <c r="G15" s="10">
        <f t="shared" si="1"/>
        <v>1</v>
      </c>
    </row>
    <row r="16" spans="1:7" ht="15">
      <c r="A16" s="5" t="s">
        <v>10</v>
      </c>
      <c r="B16" s="4" t="s">
        <v>16</v>
      </c>
      <c r="C16" s="9"/>
      <c r="D16" s="9">
        <v>56190</v>
      </c>
      <c r="E16" s="9">
        <v>57304</v>
      </c>
      <c r="F16" s="9">
        <f t="shared" si="0"/>
        <v>57304</v>
      </c>
      <c r="G16" s="12"/>
    </row>
    <row r="17" spans="1:7" ht="15">
      <c r="A17" s="5">
        <v>3</v>
      </c>
      <c r="B17" s="4" t="s">
        <v>18</v>
      </c>
      <c r="C17" s="9"/>
      <c r="D17" s="9"/>
      <c r="E17" s="9"/>
      <c r="F17" s="11"/>
      <c r="G17" s="12"/>
    </row>
    <row r="18" spans="1:7" ht="15">
      <c r="A18" s="5">
        <v>4</v>
      </c>
      <c r="B18" s="4" t="s">
        <v>20</v>
      </c>
      <c r="C18" s="9"/>
      <c r="D18" s="9">
        <v>184577</v>
      </c>
      <c r="E18" s="9"/>
      <c r="F18" s="11"/>
      <c r="G18" s="12"/>
    </row>
    <row r="19" spans="1:7" ht="30">
      <c r="A19" s="5">
        <v>5</v>
      </c>
      <c r="B19" s="4" t="s">
        <v>22</v>
      </c>
      <c r="C19" s="9"/>
      <c r="D19" s="9">
        <v>90283</v>
      </c>
      <c r="E19" s="9"/>
      <c r="F19" s="11"/>
      <c r="G19" s="12"/>
    </row>
    <row r="20" spans="1:7" ht="30">
      <c r="A20" s="5">
        <v>6</v>
      </c>
      <c r="B20" s="4" t="s">
        <v>218</v>
      </c>
      <c r="C20" s="9"/>
      <c r="D20" s="9"/>
      <c r="E20" s="9">
        <v>5644</v>
      </c>
      <c r="F20" s="9">
        <f t="shared" si="0"/>
        <v>5644</v>
      </c>
      <c r="G20" s="12"/>
    </row>
    <row r="21" spans="1:7" ht="15">
      <c r="A21" s="2" t="s">
        <v>13</v>
      </c>
      <c r="B21" s="3" t="s">
        <v>97</v>
      </c>
      <c r="C21" s="11">
        <f>C22+C23+C26</f>
        <v>855723</v>
      </c>
      <c r="D21" s="11">
        <f>D22+D23+D26</f>
        <v>1066753</v>
      </c>
      <c r="E21" s="11">
        <f>E22+E23+E26</f>
        <v>956302</v>
      </c>
      <c r="F21" s="11">
        <f t="shared" si="0"/>
        <v>100579</v>
      </c>
      <c r="G21" s="12">
        <f t="shared" si="1"/>
        <v>1.1175368664860008</v>
      </c>
    </row>
    <row r="22" spans="1:7" ht="30">
      <c r="A22" s="5">
        <v>1</v>
      </c>
      <c r="B22" s="4" t="s">
        <v>214</v>
      </c>
      <c r="C22" s="9">
        <v>736257</v>
      </c>
      <c r="D22" s="9">
        <v>945690</v>
      </c>
      <c r="E22" s="9">
        <f>833728-1650</f>
        <v>832078</v>
      </c>
      <c r="F22" s="9">
        <f t="shared" si="0"/>
        <v>95821</v>
      </c>
      <c r="G22" s="10">
        <f t="shared" si="1"/>
        <v>1.1301461310384824</v>
      </c>
    </row>
    <row r="23" spans="1:7" ht="30">
      <c r="A23" s="5">
        <v>2</v>
      </c>
      <c r="B23" s="4" t="s">
        <v>98</v>
      </c>
      <c r="C23" s="9">
        <f>C24+C25</f>
        <v>119466</v>
      </c>
      <c r="D23" s="9">
        <f>D24+D25</f>
        <v>121063</v>
      </c>
      <c r="E23" s="9">
        <f>E24+E25</f>
        <v>124224</v>
      </c>
      <c r="F23" s="9">
        <f t="shared" si="0"/>
        <v>4758</v>
      </c>
      <c r="G23" s="10">
        <f t="shared" si="1"/>
        <v>1.0398272311787453</v>
      </c>
    </row>
    <row r="24" spans="1:7" ht="30">
      <c r="A24" s="5" t="s">
        <v>10</v>
      </c>
      <c r="B24" s="4" t="s">
        <v>99</v>
      </c>
      <c r="C24" s="9">
        <v>119466</v>
      </c>
      <c r="D24" s="9">
        <v>119466</v>
      </c>
      <c r="E24" s="9">
        <v>119466</v>
      </c>
      <c r="F24" s="9"/>
      <c r="G24" s="10">
        <f t="shared" si="1"/>
        <v>1</v>
      </c>
    </row>
    <row r="25" spans="1:7" ht="15">
      <c r="A25" s="5" t="s">
        <v>10</v>
      </c>
      <c r="B25" s="4" t="s">
        <v>100</v>
      </c>
      <c r="C25" s="9"/>
      <c r="D25" s="9">
        <v>1597</v>
      </c>
      <c r="E25" s="9">
        <f>3108+1650</f>
        <v>4758</v>
      </c>
      <c r="F25" s="9">
        <f t="shared" si="0"/>
        <v>4758</v>
      </c>
      <c r="G25" s="10"/>
    </row>
    <row r="26" spans="1:7" ht="30">
      <c r="A26" s="5">
        <v>3</v>
      </c>
      <c r="B26" s="4" t="s">
        <v>33</v>
      </c>
      <c r="C26" s="9"/>
      <c r="D26" s="9"/>
      <c r="E26" s="9"/>
      <c r="F26" s="11"/>
      <c r="G26" s="12"/>
    </row>
    <row r="27" spans="1:7" ht="28.5">
      <c r="A27" s="2" t="s">
        <v>17</v>
      </c>
      <c r="B27" s="3" t="s">
        <v>215</v>
      </c>
      <c r="C27" s="9"/>
      <c r="D27" s="9"/>
      <c r="E27" s="9"/>
      <c r="F27" s="11"/>
      <c r="G27" s="12"/>
    </row>
    <row r="28" spans="1:7" ht="15">
      <c r="A28" s="2" t="s">
        <v>6</v>
      </c>
      <c r="B28" s="3" t="s">
        <v>237</v>
      </c>
      <c r="C28" s="11"/>
      <c r="D28" s="11"/>
      <c r="E28" s="11"/>
      <c r="F28" s="11"/>
      <c r="G28" s="12"/>
    </row>
    <row r="29" spans="1:7" ht="15">
      <c r="A29" s="2" t="s">
        <v>8</v>
      </c>
      <c r="B29" s="3" t="s">
        <v>94</v>
      </c>
      <c r="C29" s="11">
        <f>C30+C31+C34+C35+C36</f>
        <v>132536</v>
      </c>
      <c r="D29" s="11">
        <f>D30+D31+D34+D35+D36</f>
        <v>168891</v>
      </c>
      <c r="E29" s="11">
        <f>E30+E31+E34+E35+E36</f>
        <v>143774</v>
      </c>
      <c r="F29" s="11">
        <f t="shared" si="0"/>
        <v>11238</v>
      </c>
      <c r="G29" s="12">
        <f t="shared" si="1"/>
        <v>1.0847920564978573</v>
      </c>
    </row>
    <row r="30" spans="1:7" ht="30">
      <c r="A30" s="5">
        <v>1</v>
      </c>
      <c r="B30" s="4" t="s">
        <v>95</v>
      </c>
      <c r="C30" s="9">
        <f>2100+6100+3500+1370</f>
        <v>13070</v>
      </c>
      <c r="D30" s="9">
        <f>4100+8000+7000+5513</f>
        <v>24613</v>
      </c>
      <c r="E30" s="9">
        <f>2429+11800+2949+1370</f>
        <v>18548</v>
      </c>
      <c r="F30" s="9">
        <f t="shared" si="0"/>
        <v>5478</v>
      </c>
      <c r="G30" s="10">
        <f t="shared" si="1"/>
        <v>1.4191277735271615</v>
      </c>
    </row>
    <row r="31" spans="1:7" ht="30">
      <c r="A31" s="5">
        <v>2</v>
      </c>
      <c r="B31" s="4" t="s">
        <v>96</v>
      </c>
      <c r="C31" s="9">
        <f>C32+C33</f>
        <v>119466</v>
      </c>
      <c r="D31" s="9">
        <f>D32+D33</f>
        <v>121063</v>
      </c>
      <c r="E31" s="9">
        <f>E32+E33</f>
        <v>124224</v>
      </c>
      <c r="F31" s="9">
        <f t="shared" si="0"/>
        <v>4758</v>
      </c>
      <c r="G31" s="10">
        <f t="shared" si="1"/>
        <v>1.0398272311787453</v>
      </c>
    </row>
    <row r="32" spans="1:7" ht="30">
      <c r="A32" s="5" t="s">
        <v>10</v>
      </c>
      <c r="B32" s="4" t="s">
        <v>15</v>
      </c>
      <c r="C32" s="9">
        <v>119466</v>
      </c>
      <c r="D32" s="9">
        <v>119466</v>
      </c>
      <c r="E32" s="9">
        <v>119466</v>
      </c>
      <c r="F32" s="9"/>
      <c r="G32" s="10">
        <f t="shared" si="1"/>
        <v>1</v>
      </c>
    </row>
    <row r="33" spans="1:7" ht="15">
      <c r="A33" s="5" t="s">
        <v>10</v>
      </c>
      <c r="B33" s="4" t="s">
        <v>16</v>
      </c>
      <c r="C33" s="9"/>
      <c r="D33" s="9">
        <v>1597</v>
      </c>
      <c r="E33" s="9">
        <f>3108+1650</f>
        <v>4758</v>
      </c>
      <c r="F33" s="9">
        <f t="shared" si="0"/>
        <v>4758</v>
      </c>
      <c r="G33" s="10"/>
    </row>
    <row r="34" spans="1:7" ht="15">
      <c r="A34" s="5">
        <v>3</v>
      </c>
      <c r="B34" s="4" t="s">
        <v>20</v>
      </c>
      <c r="C34" s="9"/>
      <c r="D34" s="9">
        <v>21543</v>
      </c>
      <c r="E34" s="9"/>
      <c r="F34" s="11"/>
      <c r="G34" s="12"/>
    </row>
    <row r="35" spans="1:7" ht="30">
      <c r="A35" s="5">
        <v>4</v>
      </c>
      <c r="B35" s="4" t="s">
        <v>22</v>
      </c>
      <c r="C35" s="9"/>
      <c r="D35" s="9">
        <v>1672</v>
      </c>
      <c r="E35" s="9"/>
      <c r="F35" s="11"/>
      <c r="G35" s="12"/>
    </row>
    <row r="36" spans="1:7" ht="30">
      <c r="A36" s="5">
        <v>5</v>
      </c>
      <c r="B36" s="4" t="s">
        <v>218</v>
      </c>
      <c r="C36" s="9"/>
      <c r="D36" s="9"/>
      <c r="E36" s="9">
        <f>2652-1650</f>
        <v>1002</v>
      </c>
      <c r="F36" s="9">
        <f t="shared" si="0"/>
        <v>1002</v>
      </c>
      <c r="G36" s="12"/>
    </row>
    <row r="37" spans="1:7" ht="15">
      <c r="A37" s="2" t="s">
        <v>13</v>
      </c>
      <c r="B37" s="3" t="s">
        <v>101</v>
      </c>
      <c r="C37" s="11">
        <f>C38+C39+C42</f>
        <v>132536</v>
      </c>
      <c r="D37" s="11">
        <f>D38+D39+D42</f>
        <v>142462</v>
      </c>
      <c r="E37" s="11">
        <f>E38+E39+E42</f>
        <v>143774</v>
      </c>
      <c r="F37" s="11">
        <f t="shared" si="0"/>
        <v>11238</v>
      </c>
      <c r="G37" s="12">
        <f t="shared" si="1"/>
        <v>1.0847920564978573</v>
      </c>
    </row>
    <row r="38" spans="1:7" ht="30">
      <c r="A38" s="5">
        <v>1</v>
      </c>
      <c r="B38" s="4" t="s">
        <v>217</v>
      </c>
      <c r="C38" s="9">
        <v>132536</v>
      </c>
      <c r="D38" s="9">
        <v>142462</v>
      </c>
      <c r="E38" s="9">
        <v>143774</v>
      </c>
      <c r="F38" s="9">
        <f t="shared" si="0"/>
        <v>11238</v>
      </c>
      <c r="G38" s="10">
        <f t="shared" si="1"/>
        <v>1.0847920564978573</v>
      </c>
    </row>
    <row r="39" spans="1:7" ht="30">
      <c r="A39" s="5">
        <v>2</v>
      </c>
      <c r="B39" s="4" t="s">
        <v>98</v>
      </c>
      <c r="C39" s="9"/>
      <c r="D39" s="9"/>
      <c r="E39" s="9"/>
      <c r="F39" s="11"/>
      <c r="G39" s="12"/>
    </row>
    <row r="40" spans="1:7" ht="30">
      <c r="A40" s="5" t="s">
        <v>10</v>
      </c>
      <c r="B40" s="4" t="s">
        <v>99</v>
      </c>
      <c r="C40" s="9"/>
      <c r="D40" s="9"/>
      <c r="E40" s="9"/>
      <c r="F40" s="11"/>
      <c r="G40" s="12"/>
    </row>
    <row r="41" spans="1:7" ht="15">
      <c r="A41" s="5" t="s">
        <v>10</v>
      </c>
      <c r="B41" s="4" t="s">
        <v>100</v>
      </c>
      <c r="C41" s="9"/>
      <c r="D41" s="9"/>
      <c r="E41" s="9"/>
      <c r="F41" s="11"/>
      <c r="G41" s="12"/>
    </row>
    <row r="42" spans="1:7" ht="30">
      <c r="A42" s="5">
        <v>3</v>
      </c>
      <c r="B42" s="4" t="s">
        <v>33</v>
      </c>
      <c r="C42" s="9"/>
      <c r="D42" s="9"/>
      <c r="E42" s="9"/>
      <c r="F42" s="11"/>
      <c r="G42" s="12"/>
    </row>
  </sheetData>
  <sheetProtection/>
  <mergeCells count="11">
    <mergeCell ref="E8:E9"/>
    <mergeCell ref="F8:G8"/>
    <mergeCell ref="E1:G1"/>
    <mergeCell ref="A2:C2"/>
    <mergeCell ref="A1:C1"/>
    <mergeCell ref="A5:G5"/>
    <mergeCell ref="A4:G4"/>
    <mergeCell ref="A8:A9"/>
    <mergeCell ref="B8:B9"/>
    <mergeCell ref="C8:C9"/>
    <mergeCell ref="D8:D9"/>
  </mergeCells>
  <printOptions/>
  <pageMargins left="0.17" right="0.1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S21"/>
  <sheetViews>
    <sheetView zoomScalePageLayoutView="0" workbookViewId="0" topLeftCell="A1">
      <selection activeCell="A4" sqref="A4:S4"/>
    </sheetView>
  </sheetViews>
  <sheetFormatPr defaultColWidth="9.140625" defaultRowHeight="15"/>
  <cols>
    <col min="1" max="1" width="9.140625" style="6" customWidth="1"/>
    <col min="2" max="2" width="20.57421875" style="6" customWidth="1"/>
    <col min="3" max="16384" width="9.140625" style="6" customWidth="1"/>
  </cols>
  <sheetData>
    <row r="1" spans="1:19" ht="15">
      <c r="A1" s="52" t="s">
        <v>375</v>
      </c>
      <c r="B1" s="52"/>
      <c r="C1" s="52"/>
      <c r="R1" s="52" t="s">
        <v>373</v>
      </c>
      <c r="S1" s="52"/>
    </row>
    <row r="3" spans="1:19" ht="18.75">
      <c r="A3" s="49" t="s">
        <v>219</v>
      </c>
      <c r="B3" s="49"/>
      <c r="C3" s="49"/>
      <c r="D3" s="49"/>
      <c r="E3" s="49"/>
      <c r="F3" s="49"/>
      <c r="G3" s="49"/>
      <c r="H3" s="49"/>
      <c r="I3" s="49"/>
      <c r="J3" s="49"/>
      <c r="K3" s="49"/>
      <c r="L3" s="49"/>
      <c r="M3" s="49"/>
      <c r="N3" s="49"/>
      <c r="O3" s="49"/>
      <c r="P3" s="49"/>
      <c r="Q3" s="49"/>
      <c r="R3" s="49"/>
      <c r="S3" s="49"/>
    </row>
    <row r="4" spans="1:19" ht="15">
      <c r="A4" s="53" t="s">
        <v>376</v>
      </c>
      <c r="B4" s="53"/>
      <c r="C4" s="53"/>
      <c r="D4" s="53"/>
      <c r="E4" s="53"/>
      <c r="F4" s="53"/>
      <c r="G4" s="53"/>
      <c r="H4" s="53"/>
      <c r="I4" s="53"/>
      <c r="J4" s="53"/>
      <c r="K4" s="53"/>
      <c r="L4" s="53"/>
      <c r="M4" s="53"/>
      <c r="N4" s="53"/>
      <c r="O4" s="53"/>
      <c r="P4" s="53"/>
      <c r="Q4" s="53"/>
      <c r="R4" s="53"/>
      <c r="S4" s="53"/>
    </row>
    <row r="5" spans="1:19" ht="14.25" customHeight="1">
      <c r="A5" s="7"/>
      <c r="B5" s="7"/>
      <c r="C5" s="7"/>
      <c r="D5" s="7"/>
      <c r="E5" s="7"/>
      <c r="F5" s="7"/>
      <c r="G5" s="7"/>
      <c r="H5" s="7"/>
      <c r="I5" s="7"/>
      <c r="J5" s="7"/>
      <c r="K5" s="7"/>
      <c r="L5" s="7"/>
      <c r="M5" s="7"/>
      <c r="N5" s="7"/>
      <c r="O5" s="7"/>
      <c r="P5" s="7"/>
      <c r="Q5" s="7"/>
      <c r="R5" s="7"/>
      <c r="S5" s="7"/>
    </row>
    <row r="6" ht="15">
      <c r="S6" s="8" t="s">
        <v>192</v>
      </c>
    </row>
    <row r="7" spans="1:19" ht="15">
      <c r="A7" s="50" t="s">
        <v>0</v>
      </c>
      <c r="B7" s="55" t="s">
        <v>102</v>
      </c>
      <c r="C7" s="50" t="s">
        <v>103</v>
      </c>
      <c r="D7" s="55" t="s">
        <v>104</v>
      </c>
      <c r="E7" s="50" t="s">
        <v>105</v>
      </c>
      <c r="F7" s="50"/>
      <c r="G7" s="50"/>
      <c r="H7" s="50"/>
      <c r="I7" s="50"/>
      <c r="J7" s="50"/>
      <c r="K7" s="50"/>
      <c r="L7" s="55" t="s">
        <v>106</v>
      </c>
      <c r="M7" s="55" t="s">
        <v>107</v>
      </c>
      <c r="N7" s="50" t="s">
        <v>105</v>
      </c>
      <c r="O7" s="50"/>
      <c r="P7" s="50"/>
      <c r="Q7" s="50"/>
      <c r="R7" s="50"/>
      <c r="S7" s="50"/>
    </row>
    <row r="8" spans="1:19" ht="128.25">
      <c r="A8" s="50"/>
      <c r="B8" s="56"/>
      <c r="C8" s="50"/>
      <c r="D8" s="56"/>
      <c r="E8" s="2" t="s">
        <v>108</v>
      </c>
      <c r="F8" s="2" t="s">
        <v>109</v>
      </c>
      <c r="G8" s="2" t="s">
        <v>231</v>
      </c>
      <c r="H8" s="2" t="s">
        <v>232</v>
      </c>
      <c r="I8" s="2" t="s">
        <v>233</v>
      </c>
      <c r="J8" s="2" t="s">
        <v>234</v>
      </c>
      <c r="K8" s="2" t="s">
        <v>235</v>
      </c>
      <c r="L8" s="56"/>
      <c r="M8" s="56"/>
      <c r="N8" s="2" t="s">
        <v>110</v>
      </c>
      <c r="O8" s="2" t="s">
        <v>111</v>
      </c>
      <c r="P8" s="2" t="s">
        <v>112</v>
      </c>
      <c r="Q8" s="2" t="s">
        <v>113</v>
      </c>
      <c r="R8" s="2" t="s">
        <v>114</v>
      </c>
      <c r="S8" s="2" t="s">
        <v>115</v>
      </c>
    </row>
    <row r="9" spans="1:19" ht="15">
      <c r="A9" s="2" t="s">
        <v>5</v>
      </c>
      <c r="B9" s="2" t="s">
        <v>6</v>
      </c>
      <c r="C9" s="2">
        <v>1</v>
      </c>
      <c r="D9" s="2">
        <v>2</v>
      </c>
      <c r="E9" s="2">
        <v>3</v>
      </c>
      <c r="F9" s="2">
        <v>4</v>
      </c>
      <c r="G9" s="2">
        <v>5</v>
      </c>
      <c r="H9" s="2">
        <v>6</v>
      </c>
      <c r="I9" s="2">
        <v>7</v>
      </c>
      <c r="J9" s="2">
        <v>8</v>
      </c>
      <c r="K9" s="2">
        <v>9</v>
      </c>
      <c r="L9" s="2">
        <v>10</v>
      </c>
      <c r="M9" s="2">
        <v>11</v>
      </c>
      <c r="N9" s="2">
        <v>12</v>
      </c>
      <c r="O9" s="2">
        <v>13</v>
      </c>
      <c r="P9" s="2">
        <v>14</v>
      </c>
      <c r="Q9" s="2">
        <v>15</v>
      </c>
      <c r="R9" s="2">
        <v>16</v>
      </c>
      <c r="S9" s="2">
        <v>17</v>
      </c>
    </row>
    <row r="10" spans="1:19" ht="15">
      <c r="A10" s="5"/>
      <c r="B10" s="3" t="s">
        <v>116</v>
      </c>
      <c r="C10" s="11">
        <f>SUM(C11:C21)</f>
        <v>18548.000000000004</v>
      </c>
      <c r="D10" s="11">
        <f aca="true" t="shared" si="0" ref="D10:S10">SUM(D11:D21)</f>
        <v>18548.000000000004</v>
      </c>
      <c r="E10" s="11">
        <f t="shared" si="0"/>
        <v>0</v>
      </c>
      <c r="F10" s="11">
        <f t="shared" si="0"/>
        <v>0</v>
      </c>
      <c r="G10" s="11">
        <f t="shared" si="0"/>
        <v>0</v>
      </c>
      <c r="H10" s="11">
        <f t="shared" si="0"/>
        <v>2429</v>
      </c>
      <c r="I10" s="11">
        <f t="shared" si="0"/>
        <v>11800</v>
      </c>
      <c r="J10" s="11">
        <f t="shared" si="0"/>
        <v>2949</v>
      </c>
      <c r="K10" s="11">
        <f t="shared" si="0"/>
        <v>1370</v>
      </c>
      <c r="L10" s="11">
        <f t="shared" si="0"/>
        <v>0</v>
      </c>
      <c r="M10" s="11">
        <f t="shared" si="0"/>
        <v>0</v>
      </c>
      <c r="N10" s="11">
        <f t="shared" si="0"/>
        <v>0</v>
      </c>
      <c r="O10" s="11">
        <f t="shared" si="0"/>
        <v>0</v>
      </c>
      <c r="P10" s="11">
        <f t="shared" si="0"/>
        <v>0</v>
      </c>
      <c r="Q10" s="11">
        <f t="shared" si="0"/>
        <v>0</v>
      </c>
      <c r="R10" s="11">
        <f t="shared" si="0"/>
        <v>0</v>
      </c>
      <c r="S10" s="11">
        <f t="shared" si="0"/>
        <v>0</v>
      </c>
    </row>
    <row r="11" spans="1:19" ht="15">
      <c r="A11" s="5">
        <v>1</v>
      </c>
      <c r="B11" s="4" t="s">
        <v>220</v>
      </c>
      <c r="C11" s="9">
        <f>D11+L11+M11</f>
        <v>1025.317627</v>
      </c>
      <c r="D11" s="9">
        <f>SUM(E11:K11)</f>
        <v>1025.317627</v>
      </c>
      <c r="E11" s="9"/>
      <c r="F11" s="9"/>
      <c r="G11" s="9"/>
      <c r="H11" s="9">
        <v>131</v>
      </c>
      <c r="I11" s="9">
        <v>665</v>
      </c>
      <c r="J11" s="9">
        <v>164.713464</v>
      </c>
      <c r="K11" s="9">
        <v>64.604163</v>
      </c>
      <c r="L11" s="9"/>
      <c r="M11" s="9"/>
      <c r="N11" s="9"/>
      <c r="O11" s="9"/>
      <c r="P11" s="9"/>
      <c r="Q11" s="9"/>
      <c r="R11" s="9"/>
      <c r="S11" s="9"/>
    </row>
    <row r="12" spans="1:19" ht="15">
      <c r="A12" s="5">
        <v>2</v>
      </c>
      <c r="B12" s="4" t="s">
        <v>221</v>
      </c>
      <c r="C12" s="9">
        <f aca="true" t="shared" si="1" ref="C12:C21">D12+L12+M12</f>
        <v>3235.611637</v>
      </c>
      <c r="D12" s="9">
        <f aca="true" t="shared" si="2" ref="D12:D21">SUM(E12:K12)</f>
        <v>3235.611637</v>
      </c>
      <c r="E12" s="9"/>
      <c r="F12" s="9"/>
      <c r="G12" s="9"/>
      <c r="H12" s="9">
        <v>523</v>
      </c>
      <c r="I12" s="9">
        <v>2308</v>
      </c>
      <c r="J12" s="9">
        <v>339.283363</v>
      </c>
      <c r="K12" s="9">
        <v>65.328274</v>
      </c>
      <c r="L12" s="9"/>
      <c r="M12" s="9"/>
      <c r="N12" s="9"/>
      <c r="O12" s="9"/>
      <c r="P12" s="9"/>
      <c r="Q12" s="9"/>
      <c r="R12" s="9"/>
      <c r="S12" s="9"/>
    </row>
    <row r="13" spans="1:19" ht="15">
      <c r="A13" s="5">
        <v>3</v>
      </c>
      <c r="B13" s="4" t="s">
        <v>222</v>
      </c>
      <c r="C13" s="9">
        <f t="shared" si="1"/>
        <v>1979.200137</v>
      </c>
      <c r="D13" s="9">
        <f t="shared" si="2"/>
        <v>1979.200137</v>
      </c>
      <c r="E13" s="9"/>
      <c r="F13" s="9"/>
      <c r="G13" s="9"/>
      <c r="H13" s="9">
        <v>231</v>
      </c>
      <c r="I13" s="9">
        <v>1367</v>
      </c>
      <c r="J13" s="9">
        <v>229.929798</v>
      </c>
      <c r="K13" s="9">
        <v>151.270339</v>
      </c>
      <c r="L13" s="9"/>
      <c r="M13" s="9"/>
      <c r="N13" s="9"/>
      <c r="O13" s="9"/>
      <c r="P13" s="9"/>
      <c r="Q13" s="9"/>
      <c r="R13" s="9"/>
      <c r="S13" s="9"/>
    </row>
    <row r="14" spans="1:19" ht="15">
      <c r="A14" s="5">
        <v>4</v>
      </c>
      <c r="B14" s="4" t="s">
        <v>223</v>
      </c>
      <c r="C14" s="9">
        <f t="shared" si="1"/>
        <v>1364.106949</v>
      </c>
      <c r="D14" s="9">
        <f t="shared" si="2"/>
        <v>1364.106949</v>
      </c>
      <c r="E14" s="9"/>
      <c r="F14" s="9"/>
      <c r="G14" s="9"/>
      <c r="H14" s="9">
        <v>159</v>
      </c>
      <c r="I14" s="9">
        <v>869</v>
      </c>
      <c r="J14" s="9">
        <v>261.771197</v>
      </c>
      <c r="K14" s="9">
        <v>74.335752</v>
      </c>
      <c r="L14" s="9"/>
      <c r="M14" s="9"/>
      <c r="N14" s="9"/>
      <c r="O14" s="9"/>
      <c r="P14" s="9"/>
      <c r="Q14" s="9"/>
      <c r="R14" s="9"/>
      <c r="S14" s="9"/>
    </row>
    <row r="15" spans="1:19" ht="15">
      <c r="A15" s="5">
        <v>5</v>
      </c>
      <c r="B15" s="4" t="s">
        <v>224</v>
      </c>
      <c r="C15" s="9">
        <f t="shared" si="1"/>
        <v>1610.6886379999999</v>
      </c>
      <c r="D15" s="9">
        <f t="shared" si="2"/>
        <v>1610.6886379999999</v>
      </c>
      <c r="E15" s="9"/>
      <c r="F15" s="9"/>
      <c r="G15" s="9"/>
      <c r="H15" s="9">
        <v>204</v>
      </c>
      <c r="I15" s="9">
        <v>949</v>
      </c>
      <c r="J15" s="9">
        <v>347.513873</v>
      </c>
      <c r="K15" s="9">
        <v>110.174765</v>
      </c>
      <c r="L15" s="9"/>
      <c r="M15" s="9"/>
      <c r="N15" s="9"/>
      <c r="O15" s="9"/>
      <c r="P15" s="9"/>
      <c r="Q15" s="9"/>
      <c r="R15" s="9"/>
      <c r="S15" s="9"/>
    </row>
    <row r="16" spans="1:19" ht="15">
      <c r="A16" s="5">
        <v>6</v>
      </c>
      <c r="B16" s="4" t="s">
        <v>225</v>
      </c>
      <c r="C16" s="9">
        <f t="shared" si="1"/>
        <v>1297.44224</v>
      </c>
      <c r="D16" s="9">
        <f t="shared" si="2"/>
        <v>1297.44224</v>
      </c>
      <c r="E16" s="9"/>
      <c r="F16" s="9"/>
      <c r="G16" s="9"/>
      <c r="H16" s="9">
        <v>226</v>
      </c>
      <c r="I16" s="9">
        <v>642</v>
      </c>
      <c r="J16" s="9">
        <v>247.101899</v>
      </c>
      <c r="K16" s="9">
        <v>182.340341</v>
      </c>
      <c r="L16" s="9"/>
      <c r="M16" s="9"/>
      <c r="N16" s="9"/>
      <c r="O16" s="9"/>
      <c r="P16" s="9"/>
      <c r="Q16" s="9"/>
      <c r="R16" s="9"/>
      <c r="S16" s="9"/>
    </row>
    <row r="17" spans="1:19" ht="15">
      <c r="A17" s="5">
        <v>7</v>
      </c>
      <c r="B17" s="4" t="s">
        <v>226</v>
      </c>
      <c r="C17" s="9">
        <f t="shared" si="1"/>
        <v>1047.412401</v>
      </c>
      <c r="D17" s="9">
        <f t="shared" si="2"/>
        <v>1047.412401</v>
      </c>
      <c r="E17" s="9"/>
      <c r="F17" s="9"/>
      <c r="G17" s="9"/>
      <c r="H17" s="9">
        <v>177</v>
      </c>
      <c r="I17" s="9">
        <v>564</v>
      </c>
      <c r="J17" s="9">
        <v>246.564656</v>
      </c>
      <c r="K17" s="9">
        <v>59.847745</v>
      </c>
      <c r="L17" s="9"/>
      <c r="M17" s="9"/>
      <c r="N17" s="9"/>
      <c r="O17" s="9"/>
      <c r="P17" s="9"/>
      <c r="Q17" s="9"/>
      <c r="R17" s="9"/>
      <c r="S17" s="9"/>
    </row>
    <row r="18" spans="1:19" ht="15">
      <c r="A18" s="5">
        <v>8</v>
      </c>
      <c r="B18" s="4" t="s">
        <v>227</v>
      </c>
      <c r="C18" s="9">
        <f t="shared" si="1"/>
        <v>2821.76955</v>
      </c>
      <c r="D18" s="9">
        <f t="shared" si="2"/>
        <v>2821.76955</v>
      </c>
      <c r="E18" s="9"/>
      <c r="F18" s="9"/>
      <c r="G18" s="9"/>
      <c r="H18" s="9">
        <v>281</v>
      </c>
      <c r="I18" s="9">
        <v>2110</v>
      </c>
      <c r="J18" s="9">
        <v>305.395874</v>
      </c>
      <c r="K18" s="9">
        <v>125.373676</v>
      </c>
      <c r="L18" s="9"/>
      <c r="M18" s="9"/>
      <c r="N18" s="9"/>
      <c r="O18" s="9"/>
      <c r="P18" s="9"/>
      <c r="Q18" s="9"/>
      <c r="R18" s="9"/>
      <c r="S18" s="9"/>
    </row>
    <row r="19" spans="1:19" ht="15">
      <c r="A19" s="5">
        <v>9</v>
      </c>
      <c r="B19" s="4" t="s">
        <v>228</v>
      </c>
      <c r="C19" s="9">
        <f t="shared" si="1"/>
        <v>1606.289194</v>
      </c>
      <c r="D19" s="9">
        <f t="shared" si="2"/>
        <v>1606.289194</v>
      </c>
      <c r="E19" s="9"/>
      <c r="F19" s="9"/>
      <c r="G19" s="9"/>
      <c r="H19" s="9">
        <v>202</v>
      </c>
      <c r="I19" s="9">
        <v>1032</v>
      </c>
      <c r="J19" s="9">
        <v>262.79122</v>
      </c>
      <c r="K19" s="9">
        <v>109.497974</v>
      </c>
      <c r="L19" s="9"/>
      <c r="M19" s="9"/>
      <c r="N19" s="9"/>
      <c r="O19" s="9"/>
      <c r="P19" s="9"/>
      <c r="Q19" s="9"/>
      <c r="R19" s="9"/>
      <c r="S19" s="9"/>
    </row>
    <row r="20" spans="1:19" ht="15">
      <c r="A20" s="5">
        <v>10</v>
      </c>
      <c r="B20" s="23" t="s">
        <v>229</v>
      </c>
      <c r="C20" s="9">
        <f t="shared" si="1"/>
        <v>1333.114933</v>
      </c>
      <c r="D20" s="9">
        <f t="shared" si="2"/>
        <v>1333.114933</v>
      </c>
      <c r="E20" s="9"/>
      <c r="F20" s="9"/>
      <c r="G20" s="9"/>
      <c r="H20" s="9">
        <v>121</v>
      </c>
      <c r="I20" s="9">
        <v>557</v>
      </c>
      <c r="J20" s="9">
        <v>302.003915</v>
      </c>
      <c r="K20" s="9">
        <v>353.111018</v>
      </c>
      <c r="L20" s="9"/>
      <c r="M20" s="9"/>
      <c r="N20" s="9"/>
      <c r="O20" s="9"/>
      <c r="P20" s="9"/>
      <c r="Q20" s="9"/>
      <c r="R20" s="9"/>
      <c r="S20" s="9"/>
    </row>
    <row r="21" spans="1:19" ht="15">
      <c r="A21" s="5">
        <v>11</v>
      </c>
      <c r="B21" s="23" t="s">
        <v>230</v>
      </c>
      <c r="C21" s="9">
        <f t="shared" si="1"/>
        <v>1227.0466940000001</v>
      </c>
      <c r="D21" s="9">
        <f t="shared" si="2"/>
        <v>1227.0466940000001</v>
      </c>
      <c r="E21" s="9"/>
      <c r="F21" s="9"/>
      <c r="G21" s="9"/>
      <c r="H21" s="9">
        <v>174</v>
      </c>
      <c r="I21" s="9">
        <v>737</v>
      </c>
      <c r="J21" s="9">
        <v>241.930741</v>
      </c>
      <c r="K21" s="9">
        <v>74.115953</v>
      </c>
      <c r="L21" s="9"/>
      <c r="M21" s="9"/>
      <c r="N21" s="9"/>
      <c r="O21" s="9"/>
      <c r="P21" s="9"/>
      <c r="Q21" s="9"/>
      <c r="R21" s="9"/>
      <c r="S21" s="9"/>
    </row>
  </sheetData>
  <sheetProtection/>
  <mergeCells count="12">
    <mergeCell ref="R1:S1"/>
    <mergeCell ref="A1:C1"/>
    <mergeCell ref="A4:S4"/>
    <mergeCell ref="A3:S3"/>
    <mergeCell ref="B7:B8"/>
    <mergeCell ref="D7:D8"/>
    <mergeCell ref="L7:L8"/>
    <mergeCell ref="M7:M8"/>
    <mergeCell ref="A7:A8"/>
    <mergeCell ref="C7:C8"/>
    <mergeCell ref="E7:K7"/>
    <mergeCell ref="N7:S7"/>
  </mergeCells>
  <printOptions/>
  <pageMargins left="0.15748031496062992" right="0.15748031496062992" top="0.7480314960629921" bottom="0.7480314960629921" header="0.31496062992125984" footer="0.31496062992125984"/>
  <pageSetup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dimension ref="A1:E36"/>
  <sheetViews>
    <sheetView zoomScalePageLayoutView="0" workbookViewId="0" topLeftCell="A1">
      <selection activeCell="A1" sqref="A1:C1"/>
    </sheetView>
  </sheetViews>
  <sheetFormatPr defaultColWidth="9.140625" defaultRowHeight="15"/>
  <cols>
    <col min="1" max="1" width="9.140625" style="6" customWidth="1"/>
    <col min="2" max="2" width="23.140625" style="6" customWidth="1"/>
    <col min="3" max="5" width="15.28125" style="6" customWidth="1"/>
    <col min="6" max="16384" width="9.140625" style="6" customWidth="1"/>
  </cols>
  <sheetData>
    <row r="1" spans="1:5" ht="15">
      <c r="A1" s="47" t="s">
        <v>375</v>
      </c>
      <c r="B1" s="47"/>
      <c r="C1" s="47"/>
      <c r="D1" s="51" t="s">
        <v>382</v>
      </c>
      <c r="E1" s="51"/>
    </row>
    <row r="2" spans="1:5" ht="15">
      <c r="A2" s="52" t="s">
        <v>388</v>
      </c>
      <c r="B2" s="52"/>
      <c r="C2" s="52"/>
      <c r="D2" s="45"/>
      <c r="E2" s="45"/>
    </row>
    <row r="4" spans="1:5" ht="58.5" customHeight="1">
      <c r="A4" s="48" t="s">
        <v>238</v>
      </c>
      <c r="B4" s="48"/>
      <c r="C4" s="48"/>
      <c r="D4" s="48"/>
      <c r="E4" s="48"/>
    </row>
    <row r="5" spans="1:5" ht="31.5" customHeight="1">
      <c r="A5" s="54" t="s">
        <v>380</v>
      </c>
      <c r="B5" s="54"/>
      <c r="C5" s="54"/>
      <c r="D5" s="54"/>
      <c r="E5" s="54"/>
    </row>
    <row r="6" spans="1:5" ht="12.75" customHeight="1">
      <c r="A6" s="22"/>
      <c r="B6" s="22"/>
      <c r="C6" s="22"/>
      <c r="D6" s="22"/>
      <c r="E6" s="22"/>
    </row>
    <row r="7" ht="15">
      <c r="E7" s="8" t="s">
        <v>192</v>
      </c>
    </row>
    <row r="8" spans="1:5" ht="15">
      <c r="A8" s="50" t="s">
        <v>0</v>
      </c>
      <c r="B8" s="50" t="s">
        <v>1</v>
      </c>
      <c r="C8" s="50" t="s">
        <v>117</v>
      </c>
      <c r="D8" s="50" t="s">
        <v>105</v>
      </c>
      <c r="E8" s="50"/>
    </row>
    <row r="9" spans="1:5" ht="28.5">
      <c r="A9" s="50"/>
      <c r="B9" s="50"/>
      <c r="C9" s="50"/>
      <c r="D9" s="2" t="s">
        <v>239</v>
      </c>
      <c r="E9" s="2" t="s">
        <v>240</v>
      </c>
    </row>
    <row r="10" spans="1:5" ht="15">
      <c r="A10" s="2" t="s">
        <v>5</v>
      </c>
      <c r="B10" s="2" t="s">
        <v>6</v>
      </c>
      <c r="C10" s="2" t="s">
        <v>118</v>
      </c>
      <c r="D10" s="2">
        <v>2</v>
      </c>
      <c r="E10" s="2">
        <v>3</v>
      </c>
    </row>
    <row r="11" spans="1:5" ht="15">
      <c r="A11" s="2"/>
      <c r="B11" s="3" t="s">
        <v>23</v>
      </c>
      <c r="C11" s="16">
        <f>C12+C31+C36</f>
        <v>977502</v>
      </c>
      <c r="D11" s="16">
        <f>D12+D31+D36</f>
        <v>956302</v>
      </c>
      <c r="E11" s="16">
        <f>E12+E31+E36</f>
        <v>143774</v>
      </c>
    </row>
    <row r="12" spans="1:5" ht="15">
      <c r="A12" s="2" t="s">
        <v>5</v>
      </c>
      <c r="B12" s="3" t="s">
        <v>78</v>
      </c>
      <c r="C12" s="16">
        <f>C13+C23+C27+C28+C29+C30</f>
        <v>974014</v>
      </c>
      <c r="D12" s="16">
        <f>D13+D23+D27+D28+D29+D30</f>
        <v>952814</v>
      </c>
      <c r="E12" s="16">
        <f>E13+E23+E27+E28+E29+E30</f>
        <v>143774</v>
      </c>
    </row>
    <row r="13" spans="1:5" ht="28.5">
      <c r="A13" s="2" t="s">
        <v>8</v>
      </c>
      <c r="B13" s="3" t="s">
        <v>119</v>
      </c>
      <c r="C13" s="16"/>
      <c r="D13" s="16"/>
      <c r="E13" s="16"/>
    </row>
    <row r="14" spans="1:5" ht="15">
      <c r="A14" s="5">
        <v>1</v>
      </c>
      <c r="B14" s="4" t="s">
        <v>120</v>
      </c>
      <c r="C14" s="17"/>
      <c r="D14" s="17"/>
      <c r="E14" s="17"/>
    </row>
    <row r="15" spans="1:5" ht="30">
      <c r="A15" s="5"/>
      <c r="B15" s="14" t="s">
        <v>80</v>
      </c>
      <c r="C15" s="17"/>
      <c r="D15" s="17"/>
      <c r="E15" s="17"/>
    </row>
    <row r="16" spans="1:5" ht="30">
      <c r="A16" s="5" t="s">
        <v>10</v>
      </c>
      <c r="B16" s="14" t="s">
        <v>81</v>
      </c>
      <c r="C16" s="17"/>
      <c r="D16" s="17"/>
      <c r="E16" s="17"/>
    </row>
    <row r="17" spans="1:5" ht="30">
      <c r="A17" s="5" t="s">
        <v>10</v>
      </c>
      <c r="B17" s="14" t="s">
        <v>82</v>
      </c>
      <c r="C17" s="17"/>
      <c r="D17" s="17"/>
      <c r="E17" s="17"/>
    </row>
    <row r="18" spans="1:5" ht="30">
      <c r="A18" s="5"/>
      <c r="B18" s="14" t="s">
        <v>83</v>
      </c>
      <c r="C18" s="17"/>
      <c r="D18" s="17"/>
      <c r="E18" s="17"/>
    </row>
    <row r="19" spans="1:5" ht="30">
      <c r="A19" s="5" t="s">
        <v>10</v>
      </c>
      <c r="B19" s="14" t="s">
        <v>84</v>
      </c>
      <c r="C19" s="17"/>
      <c r="D19" s="17"/>
      <c r="E19" s="17"/>
    </row>
    <row r="20" spans="1:5" ht="30">
      <c r="A20" s="5" t="s">
        <v>10</v>
      </c>
      <c r="B20" s="14" t="s">
        <v>85</v>
      </c>
      <c r="C20" s="17"/>
      <c r="D20" s="17"/>
      <c r="E20" s="17"/>
    </row>
    <row r="21" spans="1:5" ht="135">
      <c r="A21" s="5">
        <v>2</v>
      </c>
      <c r="B21" s="4" t="s">
        <v>86</v>
      </c>
      <c r="C21" s="17"/>
      <c r="D21" s="17"/>
      <c r="E21" s="17"/>
    </row>
    <row r="22" spans="1:5" ht="30">
      <c r="A22" s="5">
        <v>3</v>
      </c>
      <c r="B22" s="4" t="s">
        <v>87</v>
      </c>
      <c r="C22" s="17"/>
      <c r="D22" s="17"/>
      <c r="E22" s="17"/>
    </row>
    <row r="23" spans="1:5" ht="15">
      <c r="A23" s="2" t="s">
        <v>13</v>
      </c>
      <c r="B23" s="3" t="s">
        <v>25</v>
      </c>
      <c r="C23" s="16">
        <f>D23+E23-122574</f>
        <v>947741</v>
      </c>
      <c r="D23" s="16">
        <v>930069</v>
      </c>
      <c r="E23" s="16">
        <v>140246</v>
      </c>
    </row>
    <row r="24" spans="1:5" ht="15">
      <c r="A24" s="5"/>
      <c r="B24" s="14" t="s">
        <v>88</v>
      </c>
      <c r="C24" s="17"/>
      <c r="D24" s="17"/>
      <c r="E24" s="17"/>
    </row>
    <row r="25" spans="1:5" ht="30">
      <c r="A25" s="5">
        <v>1</v>
      </c>
      <c r="B25" s="14" t="s">
        <v>81</v>
      </c>
      <c r="C25" s="18">
        <f>D25+E25</f>
        <v>478363</v>
      </c>
      <c r="D25" s="18">
        <v>478363</v>
      </c>
      <c r="E25" s="18"/>
    </row>
    <row r="26" spans="1:5" ht="30">
      <c r="A26" s="5">
        <v>2</v>
      </c>
      <c r="B26" s="14" t="s">
        <v>89</v>
      </c>
      <c r="C26" s="18"/>
      <c r="D26" s="18"/>
      <c r="E26" s="18"/>
    </row>
    <row r="27" spans="1:5" ht="42.75">
      <c r="A27" s="2" t="s">
        <v>17</v>
      </c>
      <c r="B27" s="3" t="s">
        <v>26</v>
      </c>
      <c r="C27" s="16"/>
      <c r="D27" s="16"/>
      <c r="E27" s="16"/>
    </row>
    <row r="28" spans="1:5" ht="28.5">
      <c r="A28" s="2" t="s">
        <v>19</v>
      </c>
      <c r="B28" s="3" t="s">
        <v>27</v>
      </c>
      <c r="C28" s="16"/>
      <c r="D28" s="16"/>
      <c r="E28" s="16"/>
    </row>
    <row r="29" spans="1:5" ht="15">
      <c r="A29" s="2" t="s">
        <v>21</v>
      </c>
      <c r="B29" s="3" t="s">
        <v>28</v>
      </c>
      <c r="C29" s="16">
        <f>D29+E29</f>
        <v>26273</v>
      </c>
      <c r="D29" s="16">
        <v>22745</v>
      </c>
      <c r="E29" s="16">
        <v>3528</v>
      </c>
    </row>
    <row r="30" spans="1:5" ht="28.5">
      <c r="A30" s="2" t="s">
        <v>90</v>
      </c>
      <c r="B30" s="3" t="s">
        <v>29</v>
      </c>
      <c r="C30" s="16"/>
      <c r="D30" s="16"/>
      <c r="E30" s="16"/>
    </row>
    <row r="31" spans="1:5" ht="28.5">
      <c r="A31" s="2" t="s">
        <v>6</v>
      </c>
      <c r="B31" s="3" t="s">
        <v>91</v>
      </c>
      <c r="C31" s="16">
        <f>C32+C34</f>
        <v>3488</v>
      </c>
      <c r="D31" s="16">
        <f>D32+D34</f>
        <v>3488</v>
      </c>
      <c r="E31" s="16">
        <f>E32+E34</f>
        <v>0</v>
      </c>
    </row>
    <row r="32" spans="1:5" ht="28.5">
      <c r="A32" s="2" t="s">
        <v>8</v>
      </c>
      <c r="B32" s="3" t="s">
        <v>31</v>
      </c>
      <c r="C32" s="16">
        <f>C33</f>
        <v>2971</v>
      </c>
      <c r="D32" s="16">
        <f>D33</f>
        <v>2971</v>
      </c>
      <c r="E32" s="16">
        <f>E33</f>
        <v>0</v>
      </c>
    </row>
    <row r="33" spans="1:5" ht="45">
      <c r="A33" s="5"/>
      <c r="B33" s="4" t="s">
        <v>212</v>
      </c>
      <c r="C33" s="17">
        <f>D33+E33</f>
        <v>2971</v>
      </c>
      <c r="D33" s="17">
        <v>2971</v>
      </c>
      <c r="E33" s="17"/>
    </row>
    <row r="34" spans="1:5" ht="28.5">
      <c r="A34" s="2" t="s">
        <v>13</v>
      </c>
      <c r="B34" s="3" t="s">
        <v>92</v>
      </c>
      <c r="C34" s="16">
        <f>C35</f>
        <v>517</v>
      </c>
      <c r="D34" s="16">
        <f>D35</f>
        <v>517</v>
      </c>
      <c r="E34" s="16">
        <f>E35</f>
        <v>0</v>
      </c>
    </row>
    <row r="35" spans="1:5" ht="30">
      <c r="A35" s="5"/>
      <c r="B35" s="4" t="s">
        <v>213</v>
      </c>
      <c r="C35" s="17">
        <f>D35+E35</f>
        <v>517</v>
      </c>
      <c r="D35" s="17">
        <v>517</v>
      </c>
      <c r="E35" s="17"/>
    </row>
    <row r="36" spans="1:5" ht="42.75">
      <c r="A36" s="2" t="s">
        <v>34</v>
      </c>
      <c r="B36" s="3" t="s">
        <v>93</v>
      </c>
      <c r="C36" s="16"/>
      <c r="D36" s="16"/>
      <c r="E36" s="16"/>
    </row>
  </sheetData>
  <sheetProtection/>
  <mergeCells count="9">
    <mergeCell ref="D1:E1"/>
    <mergeCell ref="A1:C1"/>
    <mergeCell ref="A2:C2"/>
    <mergeCell ref="A8:A9"/>
    <mergeCell ref="B8:B9"/>
    <mergeCell ref="C8:C9"/>
    <mergeCell ref="D8:E8"/>
    <mergeCell ref="A4:E4"/>
    <mergeCell ref="A5:E5"/>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48"/>
  <sheetViews>
    <sheetView zoomScalePageLayoutView="0" workbookViewId="0" topLeftCell="A1">
      <selection activeCell="A1" sqref="A1:B1"/>
    </sheetView>
  </sheetViews>
  <sheetFormatPr defaultColWidth="9.140625" defaultRowHeight="15"/>
  <cols>
    <col min="1" max="1" width="6.28125" style="6" customWidth="1"/>
    <col min="2" max="2" width="48.00390625" style="6" customWidth="1"/>
    <col min="3" max="3" width="21.7109375" style="6" customWidth="1"/>
    <col min="4" max="16384" width="9.140625" style="6" customWidth="1"/>
  </cols>
  <sheetData>
    <row r="1" spans="1:3" ht="15">
      <c r="A1" s="47" t="s">
        <v>375</v>
      </c>
      <c r="B1" s="47"/>
      <c r="C1" s="19" t="s">
        <v>383</v>
      </c>
    </row>
    <row r="2" spans="1:2" ht="15">
      <c r="A2" s="52" t="s">
        <v>388</v>
      </c>
      <c r="B2" s="52"/>
    </row>
    <row r="3" spans="1:2" ht="15">
      <c r="A3" s="43"/>
      <c r="B3" s="43"/>
    </row>
    <row r="4" spans="1:3" ht="48.75" customHeight="1">
      <c r="A4" s="48" t="s">
        <v>241</v>
      </c>
      <c r="B4" s="48"/>
      <c r="C4" s="48"/>
    </row>
    <row r="5" spans="1:3" ht="33" customHeight="1">
      <c r="A5" s="54" t="s">
        <v>380</v>
      </c>
      <c r="B5" s="54"/>
      <c r="C5" s="54"/>
    </row>
    <row r="6" spans="1:3" ht="15" customHeight="1">
      <c r="A6" s="22"/>
      <c r="B6" s="22"/>
      <c r="C6" s="22"/>
    </row>
    <row r="7" ht="15">
      <c r="C7" s="8" t="s">
        <v>192</v>
      </c>
    </row>
    <row r="8" spans="1:3" ht="15">
      <c r="A8" s="2" t="s">
        <v>0</v>
      </c>
      <c r="B8" s="2" t="s">
        <v>1</v>
      </c>
      <c r="C8" s="2" t="s">
        <v>121</v>
      </c>
    </row>
    <row r="9" spans="1:3" ht="15">
      <c r="A9" s="2" t="s">
        <v>5</v>
      </c>
      <c r="B9" s="2" t="s">
        <v>6</v>
      </c>
      <c r="C9" s="2">
        <v>1</v>
      </c>
    </row>
    <row r="10" spans="1:3" ht="15">
      <c r="A10" s="2"/>
      <c r="B10" s="3" t="s">
        <v>23</v>
      </c>
      <c r="C10" s="16">
        <f>C12+C48</f>
        <v>977502</v>
      </c>
    </row>
    <row r="11" spans="1:3" ht="28.5">
      <c r="A11" s="2" t="s">
        <v>5</v>
      </c>
      <c r="B11" s="3" t="s">
        <v>242</v>
      </c>
      <c r="C11" s="16">
        <v>122574</v>
      </c>
    </row>
    <row r="12" spans="1:3" ht="28.5">
      <c r="A12" s="2" t="s">
        <v>6</v>
      </c>
      <c r="B12" s="3" t="s">
        <v>243</v>
      </c>
      <c r="C12" s="16">
        <f>C13+C30+C44+C45+C46+C47</f>
        <v>977502</v>
      </c>
    </row>
    <row r="13" spans="1:3" ht="15">
      <c r="A13" s="2" t="s">
        <v>8</v>
      </c>
      <c r="B13" s="3" t="s">
        <v>143</v>
      </c>
      <c r="C13" s="16"/>
    </row>
    <row r="14" spans="1:3" ht="15">
      <c r="A14" s="5">
        <v>1</v>
      </c>
      <c r="B14" s="4" t="s">
        <v>120</v>
      </c>
      <c r="C14" s="17"/>
    </row>
    <row r="15" spans="1:3" ht="15">
      <c r="A15" s="5"/>
      <c r="B15" s="4" t="s">
        <v>81</v>
      </c>
      <c r="C15" s="17"/>
    </row>
    <row r="16" spans="1:3" ht="15">
      <c r="A16" s="5"/>
      <c r="B16" s="4" t="s">
        <v>122</v>
      </c>
      <c r="C16" s="17"/>
    </row>
    <row r="17" spans="1:3" ht="15">
      <c r="A17" s="5"/>
      <c r="B17" s="4" t="s">
        <v>123</v>
      </c>
      <c r="C17" s="17"/>
    </row>
    <row r="18" spans="1:3" ht="15">
      <c r="A18" s="5"/>
      <c r="B18" s="4" t="s">
        <v>124</v>
      </c>
      <c r="C18" s="17"/>
    </row>
    <row r="19" spans="1:3" ht="15">
      <c r="A19" s="5"/>
      <c r="B19" s="4" t="s">
        <v>125</v>
      </c>
      <c r="C19" s="17"/>
    </row>
    <row r="20" spans="1:3" ht="15">
      <c r="A20" s="5"/>
      <c r="B20" s="4" t="s">
        <v>126</v>
      </c>
      <c r="C20" s="17"/>
    </row>
    <row r="21" spans="1:3" ht="15">
      <c r="A21" s="5"/>
      <c r="B21" s="4" t="s">
        <v>127</v>
      </c>
      <c r="C21" s="17"/>
    </row>
    <row r="22" spans="1:3" ht="15">
      <c r="A22" s="5"/>
      <c r="B22" s="4" t="s">
        <v>128</v>
      </c>
      <c r="C22" s="17"/>
    </row>
    <row r="23" spans="1:3" ht="15">
      <c r="A23" s="5"/>
      <c r="B23" s="4" t="s">
        <v>129</v>
      </c>
      <c r="C23" s="17"/>
    </row>
    <row r="24" spans="1:3" ht="15">
      <c r="A24" s="5"/>
      <c r="B24" s="4" t="s">
        <v>130</v>
      </c>
      <c r="C24" s="17"/>
    </row>
    <row r="25" spans="1:3" ht="30">
      <c r="A25" s="5"/>
      <c r="B25" s="4" t="s">
        <v>131</v>
      </c>
      <c r="C25" s="17"/>
    </row>
    <row r="26" spans="1:3" ht="15">
      <c r="A26" s="5"/>
      <c r="B26" s="4" t="s">
        <v>132</v>
      </c>
      <c r="C26" s="17"/>
    </row>
    <row r="27" spans="1:3" ht="15">
      <c r="A27" s="5"/>
      <c r="B27" s="4" t="s">
        <v>133</v>
      </c>
      <c r="C27" s="17"/>
    </row>
    <row r="28" spans="1:3" ht="45" customHeight="1">
      <c r="A28" s="5">
        <v>2</v>
      </c>
      <c r="B28" s="4" t="s">
        <v>134</v>
      </c>
      <c r="C28" s="17"/>
    </row>
    <row r="29" spans="1:3" ht="15">
      <c r="A29" s="5">
        <v>3</v>
      </c>
      <c r="B29" s="4" t="s">
        <v>87</v>
      </c>
      <c r="C29" s="17"/>
    </row>
    <row r="30" spans="1:3" ht="15">
      <c r="A30" s="2" t="s">
        <v>13</v>
      </c>
      <c r="B30" s="3" t="s">
        <v>25</v>
      </c>
      <c r="C30" s="16">
        <f>SUM(C31:C43)</f>
        <v>951229</v>
      </c>
    </row>
    <row r="31" spans="1:3" ht="15">
      <c r="A31" s="5"/>
      <c r="B31" s="4" t="s">
        <v>81</v>
      </c>
      <c r="C31" s="17">
        <v>478363</v>
      </c>
    </row>
    <row r="32" spans="1:3" ht="15">
      <c r="A32" s="5"/>
      <c r="B32" s="4" t="s">
        <v>122</v>
      </c>
      <c r="C32" s="17"/>
    </row>
    <row r="33" spans="1:3" ht="15">
      <c r="A33" s="5"/>
      <c r="B33" s="4" t="s">
        <v>123</v>
      </c>
      <c r="C33" s="17">
        <v>27283</v>
      </c>
    </row>
    <row r="34" spans="1:3" ht="15">
      <c r="A34" s="5"/>
      <c r="B34" s="4" t="s">
        <v>124</v>
      </c>
      <c r="C34" s="17">
        <v>14351</v>
      </c>
    </row>
    <row r="35" spans="1:3" ht="15">
      <c r="A35" s="5"/>
      <c r="B35" s="4" t="s">
        <v>125</v>
      </c>
      <c r="C35" s="17">
        <v>80430</v>
      </c>
    </row>
    <row r="36" spans="1:3" ht="15">
      <c r="A36" s="5"/>
      <c r="B36" s="4" t="s">
        <v>126</v>
      </c>
      <c r="C36" s="17">
        <v>4905</v>
      </c>
    </row>
    <row r="37" spans="1:3" ht="15">
      <c r="A37" s="5"/>
      <c r="B37" s="4" t="s">
        <v>127</v>
      </c>
      <c r="C37" s="17"/>
    </row>
    <row r="38" spans="1:3" ht="15">
      <c r="A38" s="5"/>
      <c r="B38" s="4" t="s">
        <v>128</v>
      </c>
      <c r="C38" s="17">
        <v>1962</v>
      </c>
    </row>
    <row r="39" spans="1:3" ht="15">
      <c r="A39" s="5"/>
      <c r="B39" s="4" t="s">
        <v>129</v>
      </c>
      <c r="C39" s="17">
        <v>61600</v>
      </c>
    </row>
    <row r="40" spans="1:3" ht="15">
      <c r="A40" s="5"/>
      <c r="B40" s="4" t="s">
        <v>130</v>
      </c>
      <c r="C40" s="17">
        <v>65954</v>
      </c>
    </row>
    <row r="41" spans="1:3" ht="30">
      <c r="A41" s="5"/>
      <c r="B41" s="4" t="s">
        <v>135</v>
      </c>
      <c r="C41" s="17">
        <v>150045</v>
      </c>
    </row>
    <row r="42" spans="1:3" ht="15">
      <c r="A42" s="5"/>
      <c r="B42" s="4" t="s">
        <v>132</v>
      </c>
      <c r="C42" s="17">
        <v>58984</v>
      </c>
    </row>
    <row r="43" spans="1:3" ht="15">
      <c r="A43" s="5"/>
      <c r="B43" s="4" t="s">
        <v>136</v>
      </c>
      <c r="C43" s="17">
        <f>5081+2271</f>
        <v>7352</v>
      </c>
    </row>
    <row r="44" spans="1:3" ht="28.5">
      <c r="A44" s="2" t="s">
        <v>17</v>
      </c>
      <c r="B44" s="3" t="s">
        <v>137</v>
      </c>
      <c r="C44" s="16"/>
    </row>
    <row r="45" spans="1:3" ht="15">
      <c r="A45" s="2" t="s">
        <v>19</v>
      </c>
      <c r="B45" s="3" t="s">
        <v>138</v>
      </c>
      <c r="C45" s="16"/>
    </row>
    <row r="46" spans="1:3" ht="15">
      <c r="A46" s="2" t="s">
        <v>21</v>
      </c>
      <c r="B46" s="3" t="s">
        <v>28</v>
      </c>
      <c r="C46" s="16">
        <v>26273</v>
      </c>
    </row>
    <row r="47" spans="1:3" ht="15">
      <c r="A47" s="2" t="s">
        <v>90</v>
      </c>
      <c r="B47" s="3" t="s">
        <v>29</v>
      </c>
      <c r="C47" s="16"/>
    </row>
    <row r="48" spans="1:3" ht="15">
      <c r="A48" s="2" t="s">
        <v>34</v>
      </c>
      <c r="B48" s="3" t="s">
        <v>93</v>
      </c>
      <c r="C48" s="16"/>
    </row>
  </sheetData>
  <sheetProtection/>
  <mergeCells count="4">
    <mergeCell ref="A4:C4"/>
    <mergeCell ref="A1:B1"/>
    <mergeCell ref="A5:C5"/>
    <mergeCell ref="A2:B2"/>
  </mergeCells>
  <printOptions/>
  <pageMargins left="0.99" right="0.7086614173228347"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130"/>
  <sheetViews>
    <sheetView zoomScalePageLayoutView="0" workbookViewId="0" topLeftCell="A1">
      <selection activeCell="A1" sqref="A1:C1"/>
    </sheetView>
  </sheetViews>
  <sheetFormatPr defaultColWidth="9.140625" defaultRowHeight="15"/>
  <cols>
    <col min="1" max="1" width="9.140625" style="27" customWidth="1"/>
    <col min="2" max="2" width="23.57421875" style="27" customWidth="1"/>
    <col min="3" max="16384" width="9.140625" style="27" customWidth="1"/>
  </cols>
  <sheetData>
    <row r="1" spans="1:13" ht="15">
      <c r="A1" s="57" t="s">
        <v>375</v>
      </c>
      <c r="B1" s="57"/>
      <c r="C1" s="57"/>
      <c r="K1" s="59" t="s">
        <v>384</v>
      </c>
      <c r="L1" s="59"/>
      <c r="M1" s="59"/>
    </row>
    <row r="2" spans="1:3" ht="15">
      <c r="A2" s="59" t="s">
        <v>388</v>
      </c>
      <c r="B2" s="59"/>
      <c r="C2" s="59"/>
    </row>
    <row r="3" spans="1:3" ht="15">
      <c r="A3" s="46"/>
      <c r="B3" s="46"/>
      <c r="C3" s="46"/>
    </row>
    <row r="4" spans="1:13" ht="18.75">
      <c r="A4" s="61" t="s">
        <v>244</v>
      </c>
      <c r="B4" s="61"/>
      <c r="C4" s="61"/>
      <c r="D4" s="61"/>
      <c r="E4" s="61"/>
      <c r="F4" s="61"/>
      <c r="G4" s="61"/>
      <c r="H4" s="61"/>
      <c r="I4" s="61"/>
      <c r="J4" s="61"/>
      <c r="K4" s="61"/>
      <c r="L4" s="61"/>
      <c r="M4" s="61"/>
    </row>
    <row r="5" spans="1:13" ht="15">
      <c r="A5" s="60" t="s">
        <v>380</v>
      </c>
      <c r="B5" s="60"/>
      <c r="C5" s="60"/>
      <c r="D5" s="60"/>
      <c r="E5" s="60"/>
      <c r="F5" s="60"/>
      <c r="G5" s="60"/>
      <c r="H5" s="60"/>
      <c r="I5" s="60"/>
      <c r="J5" s="60"/>
      <c r="K5" s="60"/>
      <c r="L5" s="60"/>
      <c r="M5" s="60"/>
    </row>
    <row r="6" spans="1:13" ht="18.75">
      <c r="A6" s="26"/>
      <c r="B6" s="26"/>
      <c r="C6" s="26"/>
      <c r="D6" s="26"/>
      <c r="E6" s="26"/>
      <c r="F6" s="26"/>
      <c r="G6" s="26"/>
      <c r="H6" s="26"/>
      <c r="I6" s="26"/>
      <c r="J6" s="26"/>
      <c r="K6" s="26"/>
      <c r="L6" s="26"/>
      <c r="M6" s="26"/>
    </row>
    <row r="7" ht="15">
      <c r="M7" s="28" t="s">
        <v>361</v>
      </c>
    </row>
    <row r="8" spans="1:13" ht="15">
      <c r="A8" s="58" t="s">
        <v>0</v>
      </c>
      <c r="B8" s="58" t="s">
        <v>102</v>
      </c>
      <c r="C8" s="58" t="s">
        <v>139</v>
      </c>
      <c r="D8" s="58" t="s">
        <v>245</v>
      </c>
      <c r="E8" s="58" t="s">
        <v>246</v>
      </c>
      <c r="F8" s="58" t="s">
        <v>353</v>
      </c>
      <c r="G8" s="58" t="s">
        <v>179</v>
      </c>
      <c r="H8" s="58" t="s">
        <v>140</v>
      </c>
      <c r="I8" s="58" t="s">
        <v>29</v>
      </c>
      <c r="J8" s="58" t="s">
        <v>141</v>
      </c>
      <c r="K8" s="58"/>
      <c r="L8" s="58"/>
      <c r="M8" s="58" t="s">
        <v>142</v>
      </c>
    </row>
    <row r="9" spans="1:13" ht="104.25" customHeight="1">
      <c r="A9" s="58"/>
      <c r="B9" s="58"/>
      <c r="C9" s="58"/>
      <c r="D9" s="58"/>
      <c r="E9" s="58"/>
      <c r="F9" s="58"/>
      <c r="G9" s="58"/>
      <c r="H9" s="58"/>
      <c r="I9" s="58"/>
      <c r="J9" s="29" t="s">
        <v>139</v>
      </c>
      <c r="K9" s="29" t="s">
        <v>143</v>
      </c>
      <c r="L9" s="29" t="s">
        <v>25</v>
      </c>
      <c r="M9" s="58"/>
    </row>
    <row r="10" spans="1:13" ht="15">
      <c r="A10" s="29" t="s">
        <v>5</v>
      </c>
      <c r="B10" s="29" t="s">
        <v>6</v>
      </c>
      <c r="C10" s="29">
        <v>1</v>
      </c>
      <c r="D10" s="29">
        <v>2</v>
      </c>
      <c r="E10" s="29">
        <v>3</v>
      </c>
      <c r="F10" s="29">
        <v>4</v>
      </c>
      <c r="G10" s="29">
        <v>5</v>
      </c>
      <c r="H10" s="29">
        <v>6</v>
      </c>
      <c r="I10" s="29">
        <v>7</v>
      </c>
      <c r="J10" s="29">
        <v>8</v>
      </c>
      <c r="K10" s="29">
        <v>9</v>
      </c>
      <c r="L10" s="29">
        <v>10</v>
      </c>
      <c r="M10" s="29">
        <v>11</v>
      </c>
    </row>
    <row r="11" spans="1:13" ht="15">
      <c r="A11" s="29"/>
      <c r="B11" s="30" t="s">
        <v>116</v>
      </c>
      <c r="C11" s="31">
        <f>C12+C125+C126+C127+C128+C129+C130</f>
        <v>977502172528.4128</v>
      </c>
      <c r="D11" s="31">
        <f aca="true" t="shared" si="0" ref="D11:M11">D12+D125+D126+D127+D128+D129+D130</f>
        <v>0</v>
      </c>
      <c r="E11" s="31">
        <f t="shared" si="0"/>
        <v>947741973410.413</v>
      </c>
      <c r="F11" s="31">
        <f t="shared" si="0"/>
        <v>0</v>
      </c>
      <c r="G11" s="31">
        <f t="shared" si="0"/>
        <v>0</v>
      </c>
      <c r="H11" s="31">
        <f>H12+H125+H126+H127+H128+H129+H130+1000000</f>
        <v>26273199118</v>
      </c>
      <c r="I11" s="31">
        <f t="shared" si="0"/>
        <v>0</v>
      </c>
      <c r="J11" s="31">
        <f t="shared" si="0"/>
        <v>3488000000</v>
      </c>
      <c r="K11" s="31">
        <f t="shared" si="0"/>
        <v>0</v>
      </c>
      <c r="L11" s="31">
        <f t="shared" si="0"/>
        <v>3488000000</v>
      </c>
      <c r="M11" s="31">
        <f t="shared" si="0"/>
        <v>0</v>
      </c>
    </row>
    <row r="12" spans="1:13" ht="28.5">
      <c r="A12" s="29" t="s">
        <v>8</v>
      </c>
      <c r="B12" s="30" t="s">
        <v>144</v>
      </c>
      <c r="C12" s="31">
        <f>SUM(C13:C124)</f>
        <v>954757569490.4128</v>
      </c>
      <c r="D12" s="31">
        <f aca="true" t="shared" si="1" ref="D12:M12">SUM(D13:D124)</f>
        <v>0</v>
      </c>
      <c r="E12" s="31">
        <f>SUM(E13:E124)</f>
        <v>947741973410.413</v>
      </c>
      <c r="F12" s="31">
        <f t="shared" si="1"/>
        <v>0</v>
      </c>
      <c r="G12" s="31">
        <f t="shared" si="1"/>
        <v>0</v>
      </c>
      <c r="H12" s="31">
        <f t="shared" si="1"/>
        <v>3527596080</v>
      </c>
      <c r="I12" s="31">
        <f t="shared" si="1"/>
        <v>0</v>
      </c>
      <c r="J12" s="31">
        <f t="shared" si="1"/>
        <v>3488000000</v>
      </c>
      <c r="K12" s="31">
        <f t="shared" si="1"/>
        <v>0</v>
      </c>
      <c r="L12" s="31">
        <f t="shared" si="1"/>
        <v>3488000000</v>
      </c>
      <c r="M12" s="31">
        <f t="shared" si="1"/>
        <v>0</v>
      </c>
    </row>
    <row r="13" spans="1:13" ht="30">
      <c r="A13" s="32"/>
      <c r="B13" s="33" t="s">
        <v>351</v>
      </c>
      <c r="C13" s="34">
        <f>D13+E13+F13+G13+H13+I13+J13+M13</f>
        <v>10982795685</v>
      </c>
      <c r="D13" s="34"/>
      <c r="E13" s="34">
        <f>10982795685</f>
        <v>10982795685</v>
      </c>
      <c r="F13" s="34"/>
      <c r="G13" s="34"/>
      <c r="H13" s="34"/>
      <c r="I13" s="34"/>
      <c r="J13" s="34">
        <f>K13+L13</f>
        <v>0</v>
      </c>
      <c r="K13" s="34"/>
      <c r="L13" s="34"/>
      <c r="M13" s="34"/>
    </row>
    <row r="14" spans="1:13" ht="15">
      <c r="A14" s="32"/>
      <c r="B14" s="33" t="s">
        <v>247</v>
      </c>
      <c r="C14" s="34">
        <f aca="true" t="shared" si="2" ref="C14:C77">D14+E14+F14+G14+H14+I14+J14+M14</f>
        <v>9759780844</v>
      </c>
      <c r="D14" s="34"/>
      <c r="E14" s="34">
        <v>9759780844</v>
      </c>
      <c r="F14" s="34"/>
      <c r="G14" s="34"/>
      <c r="H14" s="34"/>
      <c r="I14" s="34"/>
      <c r="J14" s="34">
        <f aca="true" t="shared" si="3" ref="J14:J77">K14+L14</f>
        <v>0</v>
      </c>
      <c r="K14" s="34"/>
      <c r="L14" s="34"/>
      <c r="M14" s="34"/>
    </row>
    <row r="15" spans="1:13" ht="15">
      <c r="A15" s="32"/>
      <c r="B15" s="33" t="s">
        <v>248</v>
      </c>
      <c r="C15" s="34">
        <f t="shared" si="2"/>
        <v>1321737762</v>
      </c>
      <c r="D15" s="34"/>
      <c r="E15" s="34">
        <v>1321737762</v>
      </c>
      <c r="F15" s="34"/>
      <c r="G15" s="34"/>
      <c r="H15" s="34"/>
      <c r="I15" s="34"/>
      <c r="J15" s="34">
        <f t="shared" si="3"/>
        <v>0</v>
      </c>
      <c r="K15" s="34"/>
      <c r="L15" s="34"/>
      <c r="M15" s="34"/>
    </row>
    <row r="16" spans="1:13" ht="15">
      <c r="A16" s="32"/>
      <c r="B16" s="33" t="s">
        <v>249</v>
      </c>
      <c r="C16" s="34">
        <f t="shared" si="2"/>
        <v>3475759292</v>
      </c>
      <c r="D16" s="34"/>
      <c r="E16" s="34">
        <v>3475759292</v>
      </c>
      <c r="F16" s="34"/>
      <c r="G16" s="34"/>
      <c r="H16" s="34"/>
      <c r="I16" s="34"/>
      <c r="J16" s="34">
        <f t="shared" si="3"/>
        <v>0</v>
      </c>
      <c r="K16" s="34"/>
      <c r="L16" s="34"/>
      <c r="M16" s="34"/>
    </row>
    <row r="17" spans="1:13" ht="15">
      <c r="A17" s="32"/>
      <c r="B17" s="33" t="s">
        <v>250</v>
      </c>
      <c r="C17" s="34">
        <f t="shared" si="2"/>
        <v>1230856162</v>
      </c>
      <c r="D17" s="34"/>
      <c r="E17" s="34">
        <f>40000000+1190856162</f>
        <v>1230856162</v>
      </c>
      <c r="F17" s="34"/>
      <c r="G17" s="34"/>
      <c r="H17" s="34"/>
      <c r="I17" s="34"/>
      <c r="J17" s="34">
        <f t="shared" si="3"/>
        <v>0</v>
      </c>
      <c r="K17" s="34"/>
      <c r="L17" s="34"/>
      <c r="M17" s="34"/>
    </row>
    <row r="18" spans="1:13" ht="15">
      <c r="A18" s="32"/>
      <c r="B18" s="33" t="s">
        <v>251</v>
      </c>
      <c r="C18" s="34">
        <f t="shared" si="2"/>
        <v>45599631371</v>
      </c>
      <c r="D18" s="34"/>
      <c r="E18" s="34">
        <f>2198682466+43256290359+493658546-349000000</f>
        <v>45599631371</v>
      </c>
      <c r="F18" s="34"/>
      <c r="G18" s="34"/>
      <c r="H18" s="34"/>
      <c r="I18" s="34"/>
      <c r="J18" s="34">
        <f t="shared" si="3"/>
        <v>0</v>
      </c>
      <c r="K18" s="34"/>
      <c r="L18" s="34"/>
      <c r="M18" s="34"/>
    </row>
    <row r="19" spans="1:13" ht="15">
      <c r="A19" s="32"/>
      <c r="B19" s="33" t="s">
        <v>252</v>
      </c>
      <c r="C19" s="34">
        <f t="shared" si="2"/>
        <v>7163106076</v>
      </c>
      <c r="D19" s="34"/>
      <c r="E19" s="34">
        <f>6363106076+800000000</f>
        <v>7163106076</v>
      </c>
      <c r="F19" s="34"/>
      <c r="G19" s="34"/>
      <c r="H19" s="34"/>
      <c r="I19" s="34"/>
      <c r="J19" s="34">
        <f t="shared" si="3"/>
        <v>0</v>
      </c>
      <c r="K19" s="34"/>
      <c r="L19" s="34"/>
      <c r="M19" s="34"/>
    </row>
    <row r="20" spans="1:13" ht="15">
      <c r="A20" s="32"/>
      <c r="B20" s="33" t="s">
        <v>253</v>
      </c>
      <c r="C20" s="34">
        <f t="shared" si="2"/>
        <v>8798952188</v>
      </c>
      <c r="D20" s="34"/>
      <c r="E20" s="34">
        <f>200000000+5000000000+363000000+3235952188</f>
        <v>8798952188</v>
      </c>
      <c r="F20" s="34"/>
      <c r="G20" s="34"/>
      <c r="H20" s="34"/>
      <c r="I20" s="34"/>
      <c r="J20" s="34">
        <f t="shared" si="3"/>
        <v>0</v>
      </c>
      <c r="K20" s="34"/>
      <c r="L20" s="34"/>
      <c r="M20" s="34"/>
    </row>
    <row r="21" spans="1:13" ht="15">
      <c r="A21" s="32"/>
      <c r="B21" s="33" t="s">
        <v>352</v>
      </c>
      <c r="C21" s="34">
        <f t="shared" si="2"/>
        <v>1823450842</v>
      </c>
      <c r="D21" s="34"/>
      <c r="E21" s="34">
        <v>1823450842</v>
      </c>
      <c r="F21" s="34"/>
      <c r="G21" s="34"/>
      <c r="H21" s="34"/>
      <c r="I21" s="34"/>
      <c r="J21" s="34">
        <f t="shared" si="3"/>
        <v>0</v>
      </c>
      <c r="K21" s="34"/>
      <c r="L21" s="34"/>
      <c r="M21" s="34"/>
    </row>
    <row r="22" spans="1:13" ht="15">
      <c r="A22" s="32"/>
      <c r="B22" s="33" t="s">
        <v>254</v>
      </c>
      <c r="C22" s="34">
        <f t="shared" si="2"/>
        <v>1804120732</v>
      </c>
      <c r="D22" s="34"/>
      <c r="E22" s="34">
        <v>1804120732</v>
      </c>
      <c r="F22" s="34"/>
      <c r="G22" s="34"/>
      <c r="H22" s="34"/>
      <c r="I22" s="34"/>
      <c r="J22" s="34">
        <f t="shared" si="3"/>
        <v>0</v>
      </c>
      <c r="K22" s="34"/>
      <c r="L22" s="34"/>
      <c r="M22" s="34"/>
    </row>
    <row r="23" spans="1:13" ht="15">
      <c r="A23" s="32"/>
      <c r="B23" s="33" t="s">
        <v>255</v>
      </c>
      <c r="C23" s="34">
        <f t="shared" si="2"/>
        <v>5013937262</v>
      </c>
      <c r="D23" s="34"/>
      <c r="E23" s="34">
        <v>2042937262</v>
      </c>
      <c r="F23" s="34"/>
      <c r="G23" s="34"/>
      <c r="H23" s="34"/>
      <c r="I23" s="34"/>
      <c r="J23" s="34">
        <f t="shared" si="3"/>
        <v>2971000000</v>
      </c>
      <c r="K23" s="34"/>
      <c r="L23" s="34">
        <v>2971000000</v>
      </c>
      <c r="M23" s="34"/>
    </row>
    <row r="24" spans="1:13" ht="15">
      <c r="A24" s="32"/>
      <c r="B24" s="33" t="s">
        <v>256</v>
      </c>
      <c r="C24" s="34">
        <f t="shared" si="2"/>
        <v>107504655064</v>
      </c>
      <c r="D24" s="34"/>
      <c r="E24" s="34">
        <f>46066000000+58583000000+2338655064</f>
        <v>106987655064</v>
      </c>
      <c r="F24" s="34"/>
      <c r="G24" s="34"/>
      <c r="H24" s="34"/>
      <c r="I24" s="34"/>
      <c r="J24" s="34">
        <f t="shared" si="3"/>
        <v>517000000</v>
      </c>
      <c r="K24" s="34"/>
      <c r="L24" s="34">
        <v>517000000</v>
      </c>
      <c r="M24" s="34"/>
    </row>
    <row r="25" spans="1:13" ht="15">
      <c r="A25" s="32"/>
      <c r="B25" s="33" t="s">
        <v>257</v>
      </c>
      <c r="C25" s="34">
        <f t="shared" si="2"/>
        <v>2125616922</v>
      </c>
      <c r="D25" s="34"/>
      <c r="E25" s="34">
        <v>2125616922</v>
      </c>
      <c r="F25" s="34"/>
      <c r="G25" s="34"/>
      <c r="H25" s="34"/>
      <c r="I25" s="34"/>
      <c r="J25" s="34">
        <f t="shared" si="3"/>
        <v>0</v>
      </c>
      <c r="K25" s="34"/>
      <c r="L25" s="34"/>
      <c r="M25" s="34"/>
    </row>
    <row r="26" spans="1:13" ht="15">
      <c r="A26" s="32"/>
      <c r="B26" s="33" t="s">
        <v>258</v>
      </c>
      <c r="C26" s="34">
        <f t="shared" si="2"/>
        <v>1576033769</v>
      </c>
      <c r="D26" s="34"/>
      <c r="E26" s="34">
        <v>1576033769</v>
      </c>
      <c r="F26" s="34"/>
      <c r="G26" s="34"/>
      <c r="H26" s="34"/>
      <c r="I26" s="34"/>
      <c r="J26" s="34">
        <f t="shared" si="3"/>
        <v>0</v>
      </c>
      <c r="K26" s="34"/>
      <c r="L26" s="34"/>
      <c r="M26" s="34"/>
    </row>
    <row r="27" spans="1:13" ht="15">
      <c r="A27" s="32"/>
      <c r="B27" s="33" t="s">
        <v>259</v>
      </c>
      <c r="C27" s="34">
        <f t="shared" si="2"/>
        <v>850559240</v>
      </c>
      <c r="D27" s="34"/>
      <c r="E27" s="34">
        <v>850559240</v>
      </c>
      <c r="F27" s="34"/>
      <c r="G27" s="34"/>
      <c r="H27" s="34"/>
      <c r="I27" s="34"/>
      <c r="J27" s="34">
        <f t="shared" si="3"/>
        <v>0</v>
      </c>
      <c r="K27" s="34"/>
      <c r="L27" s="34"/>
      <c r="M27" s="34"/>
    </row>
    <row r="28" spans="1:13" ht="15">
      <c r="A28" s="32"/>
      <c r="B28" s="33" t="s">
        <v>260</v>
      </c>
      <c r="C28" s="34">
        <f t="shared" si="2"/>
        <v>689500000</v>
      </c>
      <c r="D28" s="34"/>
      <c r="E28" s="34">
        <v>689500000</v>
      </c>
      <c r="F28" s="34"/>
      <c r="G28" s="34"/>
      <c r="H28" s="34"/>
      <c r="I28" s="34"/>
      <c r="J28" s="34">
        <f t="shared" si="3"/>
        <v>0</v>
      </c>
      <c r="K28" s="34"/>
      <c r="L28" s="34"/>
      <c r="M28" s="34"/>
    </row>
    <row r="29" spans="1:13" ht="15">
      <c r="A29" s="32"/>
      <c r="B29" s="33" t="s">
        <v>261</v>
      </c>
      <c r="C29" s="34">
        <f t="shared" si="2"/>
        <v>942432470</v>
      </c>
      <c r="D29" s="34"/>
      <c r="E29" s="34">
        <v>942432470</v>
      </c>
      <c r="F29" s="34"/>
      <c r="G29" s="34"/>
      <c r="H29" s="34"/>
      <c r="I29" s="34"/>
      <c r="J29" s="34">
        <f t="shared" si="3"/>
        <v>0</v>
      </c>
      <c r="K29" s="34"/>
      <c r="L29" s="34"/>
      <c r="M29" s="34"/>
    </row>
    <row r="30" spans="1:13" ht="15">
      <c r="A30" s="32"/>
      <c r="B30" s="33" t="s">
        <v>262</v>
      </c>
      <c r="C30" s="34">
        <f t="shared" si="2"/>
        <v>4227479620</v>
      </c>
      <c r="D30" s="34"/>
      <c r="E30" s="34">
        <v>4227479620</v>
      </c>
      <c r="F30" s="34"/>
      <c r="G30" s="34"/>
      <c r="H30" s="34"/>
      <c r="I30" s="34"/>
      <c r="J30" s="34">
        <f t="shared" si="3"/>
        <v>0</v>
      </c>
      <c r="K30" s="34"/>
      <c r="L30" s="34"/>
      <c r="M30" s="34"/>
    </row>
    <row r="31" spans="1:13" ht="30">
      <c r="A31" s="32"/>
      <c r="B31" s="33" t="s">
        <v>263</v>
      </c>
      <c r="C31" s="34">
        <f t="shared" si="2"/>
        <v>142334000</v>
      </c>
      <c r="D31" s="34"/>
      <c r="E31" s="34">
        <v>142334000</v>
      </c>
      <c r="F31" s="34"/>
      <c r="G31" s="34"/>
      <c r="H31" s="34"/>
      <c r="I31" s="34"/>
      <c r="J31" s="34">
        <f t="shared" si="3"/>
        <v>0</v>
      </c>
      <c r="K31" s="34"/>
      <c r="L31" s="34"/>
      <c r="M31" s="34"/>
    </row>
    <row r="32" spans="1:13" ht="15">
      <c r="A32" s="32"/>
      <c r="B32" s="33" t="s">
        <v>264</v>
      </c>
      <c r="C32" s="34">
        <f t="shared" si="2"/>
        <v>98000000</v>
      </c>
      <c r="D32" s="34"/>
      <c r="E32" s="34">
        <v>98000000</v>
      </c>
      <c r="F32" s="34"/>
      <c r="G32" s="34"/>
      <c r="H32" s="34"/>
      <c r="I32" s="34"/>
      <c r="J32" s="34">
        <f t="shared" si="3"/>
        <v>0</v>
      </c>
      <c r="K32" s="34"/>
      <c r="L32" s="34"/>
      <c r="M32" s="34"/>
    </row>
    <row r="33" spans="1:13" ht="15">
      <c r="A33" s="32"/>
      <c r="B33" s="33" t="s">
        <v>265</v>
      </c>
      <c r="C33" s="34">
        <f t="shared" si="2"/>
        <v>205948000</v>
      </c>
      <c r="D33" s="34"/>
      <c r="E33" s="34">
        <v>205948000</v>
      </c>
      <c r="F33" s="34"/>
      <c r="G33" s="34"/>
      <c r="H33" s="34"/>
      <c r="I33" s="34"/>
      <c r="J33" s="34">
        <f t="shared" si="3"/>
        <v>0</v>
      </c>
      <c r="K33" s="34"/>
      <c r="L33" s="34"/>
      <c r="M33" s="34"/>
    </row>
    <row r="34" spans="1:13" ht="15">
      <c r="A34" s="32"/>
      <c r="B34" s="33" t="s">
        <v>266</v>
      </c>
      <c r="C34" s="34">
        <f t="shared" si="2"/>
        <v>230000000</v>
      </c>
      <c r="D34" s="34"/>
      <c r="E34" s="34">
        <v>230000000</v>
      </c>
      <c r="F34" s="34"/>
      <c r="G34" s="34"/>
      <c r="H34" s="34"/>
      <c r="I34" s="34"/>
      <c r="J34" s="34">
        <f t="shared" si="3"/>
        <v>0</v>
      </c>
      <c r="K34" s="34"/>
      <c r="L34" s="34"/>
      <c r="M34" s="34"/>
    </row>
    <row r="35" spans="1:13" ht="15">
      <c r="A35" s="32"/>
      <c r="B35" s="33" t="s">
        <v>267</v>
      </c>
      <c r="C35" s="34">
        <f t="shared" si="2"/>
        <v>60000000</v>
      </c>
      <c r="D35" s="34"/>
      <c r="E35" s="34">
        <v>60000000</v>
      </c>
      <c r="F35" s="34"/>
      <c r="G35" s="34"/>
      <c r="H35" s="34"/>
      <c r="I35" s="34"/>
      <c r="J35" s="34">
        <f t="shared" si="3"/>
        <v>0</v>
      </c>
      <c r="K35" s="34"/>
      <c r="L35" s="34"/>
      <c r="M35" s="34"/>
    </row>
    <row r="36" spans="1:13" ht="15">
      <c r="A36" s="32"/>
      <c r="B36" s="33" t="s">
        <v>268</v>
      </c>
      <c r="C36" s="34">
        <f t="shared" si="2"/>
        <v>213904000</v>
      </c>
      <c r="D36" s="34"/>
      <c r="E36" s="34">
        <v>213904000</v>
      </c>
      <c r="F36" s="34"/>
      <c r="G36" s="34"/>
      <c r="H36" s="34"/>
      <c r="I36" s="34"/>
      <c r="J36" s="34">
        <f t="shared" si="3"/>
        <v>0</v>
      </c>
      <c r="K36" s="34"/>
      <c r="L36" s="34"/>
      <c r="M36" s="34"/>
    </row>
    <row r="37" spans="1:13" ht="15">
      <c r="A37" s="32"/>
      <c r="B37" s="33" t="s">
        <v>269</v>
      </c>
      <c r="C37" s="34">
        <f t="shared" si="2"/>
        <v>4209164336.8</v>
      </c>
      <c r="D37" s="34"/>
      <c r="E37" s="34">
        <v>4209164336.8</v>
      </c>
      <c r="F37" s="34"/>
      <c r="G37" s="34"/>
      <c r="H37" s="34"/>
      <c r="I37" s="34"/>
      <c r="J37" s="34">
        <f t="shared" si="3"/>
        <v>0</v>
      </c>
      <c r="K37" s="34"/>
      <c r="L37" s="34"/>
      <c r="M37" s="34"/>
    </row>
    <row r="38" spans="1:13" ht="15">
      <c r="A38" s="32"/>
      <c r="B38" s="33" t="s">
        <v>270</v>
      </c>
      <c r="C38" s="34">
        <f t="shared" si="2"/>
        <v>6801375462.3</v>
      </c>
      <c r="D38" s="34"/>
      <c r="E38" s="34">
        <v>6801375462.3</v>
      </c>
      <c r="F38" s="34"/>
      <c r="G38" s="34"/>
      <c r="H38" s="34"/>
      <c r="I38" s="34"/>
      <c r="J38" s="34">
        <f t="shared" si="3"/>
        <v>0</v>
      </c>
      <c r="K38" s="34"/>
      <c r="L38" s="34"/>
      <c r="M38" s="34"/>
    </row>
    <row r="39" spans="1:13" ht="15">
      <c r="A39" s="32"/>
      <c r="B39" s="33" t="s">
        <v>271</v>
      </c>
      <c r="C39" s="34">
        <f t="shared" si="2"/>
        <v>4743322464</v>
      </c>
      <c r="D39" s="34"/>
      <c r="E39" s="34">
        <v>4743322464</v>
      </c>
      <c r="F39" s="34"/>
      <c r="G39" s="34"/>
      <c r="H39" s="34"/>
      <c r="I39" s="34"/>
      <c r="J39" s="34">
        <f t="shared" si="3"/>
        <v>0</v>
      </c>
      <c r="K39" s="34"/>
      <c r="L39" s="34"/>
      <c r="M39" s="34"/>
    </row>
    <row r="40" spans="1:13" ht="15">
      <c r="A40" s="32"/>
      <c r="B40" s="33" t="s">
        <v>272</v>
      </c>
      <c r="C40" s="34">
        <f t="shared" si="2"/>
        <v>6306238152</v>
      </c>
      <c r="D40" s="34"/>
      <c r="E40" s="34">
        <v>6306238152</v>
      </c>
      <c r="F40" s="34"/>
      <c r="G40" s="34"/>
      <c r="H40" s="34"/>
      <c r="I40" s="34"/>
      <c r="J40" s="34">
        <f t="shared" si="3"/>
        <v>0</v>
      </c>
      <c r="K40" s="34"/>
      <c r="L40" s="34"/>
      <c r="M40" s="34"/>
    </row>
    <row r="41" spans="1:13" ht="15">
      <c r="A41" s="32"/>
      <c r="B41" s="33" t="s">
        <v>273</v>
      </c>
      <c r="C41" s="34">
        <f t="shared" si="2"/>
        <v>5585071086</v>
      </c>
      <c r="D41" s="34"/>
      <c r="E41" s="34">
        <v>5585071086</v>
      </c>
      <c r="F41" s="34"/>
      <c r="G41" s="34"/>
      <c r="H41" s="34"/>
      <c r="I41" s="34"/>
      <c r="J41" s="34">
        <f t="shared" si="3"/>
        <v>0</v>
      </c>
      <c r="K41" s="34"/>
      <c r="L41" s="34"/>
      <c r="M41" s="34"/>
    </row>
    <row r="42" spans="1:13" ht="15">
      <c r="A42" s="32"/>
      <c r="B42" s="33" t="s">
        <v>274</v>
      </c>
      <c r="C42" s="34">
        <f t="shared" si="2"/>
        <v>3234056071.4</v>
      </c>
      <c r="D42" s="34"/>
      <c r="E42" s="34">
        <v>3234056071.4</v>
      </c>
      <c r="F42" s="34"/>
      <c r="G42" s="34"/>
      <c r="H42" s="34"/>
      <c r="I42" s="34"/>
      <c r="J42" s="34">
        <f t="shared" si="3"/>
        <v>0</v>
      </c>
      <c r="K42" s="34"/>
      <c r="L42" s="34"/>
      <c r="M42" s="34"/>
    </row>
    <row r="43" spans="1:13" ht="15">
      <c r="A43" s="32"/>
      <c r="B43" s="33" t="s">
        <v>275</v>
      </c>
      <c r="C43" s="34">
        <f t="shared" si="2"/>
        <v>2533707582</v>
      </c>
      <c r="D43" s="34"/>
      <c r="E43" s="34">
        <v>2533707582</v>
      </c>
      <c r="F43" s="34"/>
      <c r="G43" s="34"/>
      <c r="H43" s="34"/>
      <c r="I43" s="34"/>
      <c r="J43" s="34">
        <f t="shared" si="3"/>
        <v>0</v>
      </c>
      <c r="K43" s="34"/>
      <c r="L43" s="34"/>
      <c r="M43" s="34"/>
    </row>
    <row r="44" spans="1:13" ht="15">
      <c r="A44" s="32"/>
      <c r="B44" s="33" t="s">
        <v>276</v>
      </c>
      <c r="C44" s="34">
        <f t="shared" si="2"/>
        <v>2732470455.5</v>
      </c>
      <c r="D44" s="34"/>
      <c r="E44" s="34">
        <v>2732470455.5</v>
      </c>
      <c r="F44" s="34"/>
      <c r="G44" s="34"/>
      <c r="H44" s="34"/>
      <c r="I44" s="34"/>
      <c r="J44" s="34">
        <f t="shared" si="3"/>
        <v>0</v>
      </c>
      <c r="K44" s="34"/>
      <c r="L44" s="34"/>
      <c r="M44" s="34"/>
    </row>
    <row r="45" spans="1:13" ht="15">
      <c r="A45" s="32"/>
      <c r="B45" s="33" t="s">
        <v>277</v>
      </c>
      <c r="C45" s="34">
        <f t="shared" si="2"/>
        <v>8502645814.5</v>
      </c>
      <c r="D45" s="34"/>
      <c r="E45" s="34">
        <v>8502645814.5</v>
      </c>
      <c r="F45" s="34"/>
      <c r="G45" s="34"/>
      <c r="H45" s="34"/>
      <c r="I45" s="34"/>
      <c r="J45" s="34">
        <f t="shared" si="3"/>
        <v>0</v>
      </c>
      <c r="K45" s="34"/>
      <c r="L45" s="34"/>
      <c r="M45" s="34"/>
    </row>
    <row r="46" spans="1:13" ht="15">
      <c r="A46" s="32"/>
      <c r="B46" s="33" t="s">
        <v>278</v>
      </c>
      <c r="C46" s="34">
        <f t="shared" si="2"/>
        <v>3138761112.5</v>
      </c>
      <c r="D46" s="34"/>
      <c r="E46" s="34">
        <v>3138761112.5</v>
      </c>
      <c r="F46" s="34"/>
      <c r="G46" s="34"/>
      <c r="H46" s="34"/>
      <c r="I46" s="34"/>
      <c r="J46" s="34">
        <f t="shared" si="3"/>
        <v>0</v>
      </c>
      <c r="K46" s="34"/>
      <c r="L46" s="34"/>
      <c r="M46" s="34"/>
    </row>
    <row r="47" spans="1:13" ht="15">
      <c r="A47" s="32"/>
      <c r="B47" s="33" t="s">
        <v>279</v>
      </c>
      <c r="C47" s="34">
        <f t="shared" si="2"/>
        <v>6825060662</v>
      </c>
      <c r="D47" s="34"/>
      <c r="E47" s="34">
        <v>6825060662</v>
      </c>
      <c r="F47" s="34"/>
      <c r="G47" s="34"/>
      <c r="H47" s="34"/>
      <c r="I47" s="34"/>
      <c r="J47" s="34">
        <f t="shared" si="3"/>
        <v>0</v>
      </c>
      <c r="K47" s="34"/>
      <c r="L47" s="34"/>
      <c r="M47" s="34"/>
    </row>
    <row r="48" spans="1:13" ht="15">
      <c r="A48" s="32"/>
      <c r="B48" s="33" t="s">
        <v>280</v>
      </c>
      <c r="C48" s="34">
        <f t="shared" si="2"/>
        <v>6147274503.7</v>
      </c>
      <c r="D48" s="34"/>
      <c r="E48" s="34">
        <v>6147274503.7</v>
      </c>
      <c r="F48" s="34"/>
      <c r="G48" s="34"/>
      <c r="H48" s="34"/>
      <c r="I48" s="34"/>
      <c r="J48" s="34">
        <f t="shared" si="3"/>
        <v>0</v>
      </c>
      <c r="K48" s="34"/>
      <c r="L48" s="34"/>
      <c r="M48" s="34"/>
    </row>
    <row r="49" spans="1:13" ht="15">
      <c r="A49" s="32"/>
      <c r="B49" s="33" t="s">
        <v>281</v>
      </c>
      <c r="C49" s="34">
        <f t="shared" si="2"/>
        <v>4023091123.2799997</v>
      </c>
      <c r="D49" s="34"/>
      <c r="E49" s="34">
        <v>4023091123.2799997</v>
      </c>
      <c r="F49" s="34"/>
      <c r="G49" s="34"/>
      <c r="H49" s="34"/>
      <c r="I49" s="34"/>
      <c r="J49" s="34">
        <f t="shared" si="3"/>
        <v>0</v>
      </c>
      <c r="K49" s="34"/>
      <c r="L49" s="34"/>
      <c r="M49" s="34"/>
    </row>
    <row r="50" spans="1:13" ht="15">
      <c r="A50" s="32"/>
      <c r="B50" s="33" t="s">
        <v>282</v>
      </c>
      <c r="C50" s="34">
        <f t="shared" si="2"/>
        <v>4683259764.98</v>
      </c>
      <c r="D50" s="34"/>
      <c r="E50" s="34">
        <v>4683259764.98</v>
      </c>
      <c r="F50" s="34"/>
      <c r="G50" s="34"/>
      <c r="H50" s="34"/>
      <c r="I50" s="34"/>
      <c r="J50" s="34">
        <f t="shared" si="3"/>
        <v>0</v>
      </c>
      <c r="K50" s="34"/>
      <c r="L50" s="34"/>
      <c r="M50" s="34"/>
    </row>
    <row r="51" spans="1:13" ht="15">
      <c r="A51" s="32"/>
      <c r="B51" s="33" t="s">
        <v>283</v>
      </c>
      <c r="C51" s="34">
        <f t="shared" si="2"/>
        <v>6447995931.5</v>
      </c>
      <c r="D51" s="34"/>
      <c r="E51" s="34">
        <v>6447995931.5</v>
      </c>
      <c r="F51" s="34"/>
      <c r="G51" s="34"/>
      <c r="H51" s="34"/>
      <c r="I51" s="34"/>
      <c r="J51" s="34">
        <f t="shared" si="3"/>
        <v>0</v>
      </c>
      <c r="K51" s="34"/>
      <c r="L51" s="34"/>
      <c r="M51" s="34"/>
    </row>
    <row r="52" spans="1:13" ht="15">
      <c r="A52" s="32"/>
      <c r="B52" s="33" t="s">
        <v>284</v>
      </c>
      <c r="C52" s="34">
        <f t="shared" si="2"/>
        <v>4339095148.2</v>
      </c>
      <c r="D52" s="34"/>
      <c r="E52" s="34">
        <v>4339095148.2</v>
      </c>
      <c r="F52" s="34"/>
      <c r="G52" s="34"/>
      <c r="H52" s="34"/>
      <c r="I52" s="34"/>
      <c r="J52" s="34">
        <f t="shared" si="3"/>
        <v>0</v>
      </c>
      <c r="K52" s="34"/>
      <c r="L52" s="34"/>
      <c r="M52" s="34"/>
    </row>
    <row r="53" spans="1:13" ht="15">
      <c r="A53" s="32"/>
      <c r="B53" s="33" t="s">
        <v>285</v>
      </c>
      <c r="C53" s="34">
        <f t="shared" si="2"/>
        <v>3288590291.2</v>
      </c>
      <c r="D53" s="34"/>
      <c r="E53" s="34">
        <v>3288590291.2</v>
      </c>
      <c r="F53" s="34"/>
      <c r="G53" s="34"/>
      <c r="H53" s="34"/>
      <c r="I53" s="34"/>
      <c r="J53" s="34">
        <f t="shared" si="3"/>
        <v>0</v>
      </c>
      <c r="K53" s="34"/>
      <c r="L53" s="34"/>
      <c r="M53" s="34"/>
    </row>
    <row r="54" spans="1:13" ht="15">
      <c r="A54" s="32"/>
      <c r="B54" s="33" t="s">
        <v>354</v>
      </c>
      <c r="C54" s="34">
        <f t="shared" si="2"/>
        <v>3575669164.8</v>
      </c>
      <c r="D54" s="34"/>
      <c r="E54" s="34">
        <v>3575669164.8</v>
      </c>
      <c r="F54" s="34"/>
      <c r="G54" s="34"/>
      <c r="H54" s="34"/>
      <c r="I54" s="34"/>
      <c r="J54" s="34">
        <f t="shared" si="3"/>
        <v>0</v>
      </c>
      <c r="K54" s="34"/>
      <c r="L54" s="34"/>
      <c r="M54" s="34"/>
    </row>
    <row r="55" spans="1:13" ht="15">
      <c r="A55" s="32"/>
      <c r="B55" s="33" t="s">
        <v>355</v>
      </c>
      <c r="C55" s="34">
        <f t="shared" si="2"/>
        <v>3339750984</v>
      </c>
      <c r="D55" s="34"/>
      <c r="E55" s="34">
        <v>3339750984</v>
      </c>
      <c r="F55" s="34"/>
      <c r="G55" s="34"/>
      <c r="H55" s="34"/>
      <c r="I55" s="34"/>
      <c r="J55" s="34">
        <f t="shared" si="3"/>
        <v>0</v>
      </c>
      <c r="K55" s="34"/>
      <c r="L55" s="34"/>
      <c r="M55" s="34"/>
    </row>
    <row r="56" spans="1:13" ht="30">
      <c r="A56" s="32"/>
      <c r="B56" s="33" t="s">
        <v>286</v>
      </c>
      <c r="C56" s="34">
        <f t="shared" si="2"/>
        <v>8803383606.4</v>
      </c>
      <c r="D56" s="34"/>
      <c r="E56" s="34">
        <v>8803383606.4</v>
      </c>
      <c r="F56" s="34"/>
      <c r="G56" s="34"/>
      <c r="H56" s="34"/>
      <c r="I56" s="34"/>
      <c r="J56" s="34">
        <f t="shared" si="3"/>
        <v>0</v>
      </c>
      <c r="K56" s="34"/>
      <c r="L56" s="34"/>
      <c r="M56" s="34"/>
    </row>
    <row r="57" spans="1:13" ht="15">
      <c r="A57" s="32"/>
      <c r="B57" s="33" t="s">
        <v>287</v>
      </c>
      <c r="C57" s="34">
        <f t="shared" si="2"/>
        <v>7601196963.748</v>
      </c>
      <c r="D57" s="34"/>
      <c r="E57" s="34">
        <v>7601196963.748</v>
      </c>
      <c r="F57" s="34"/>
      <c r="G57" s="34"/>
      <c r="H57" s="34"/>
      <c r="I57" s="34"/>
      <c r="J57" s="34">
        <f t="shared" si="3"/>
        <v>0</v>
      </c>
      <c r="K57" s="34"/>
      <c r="L57" s="34"/>
      <c r="M57" s="34"/>
    </row>
    <row r="58" spans="1:13" ht="15">
      <c r="A58" s="32"/>
      <c r="B58" s="33" t="s">
        <v>288</v>
      </c>
      <c r="C58" s="34">
        <f t="shared" si="2"/>
        <v>7877530368.94</v>
      </c>
      <c r="D58" s="34"/>
      <c r="E58" s="34">
        <v>7877530368.94</v>
      </c>
      <c r="F58" s="34"/>
      <c r="G58" s="34"/>
      <c r="H58" s="34"/>
      <c r="I58" s="34"/>
      <c r="J58" s="34">
        <f t="shared" si="3"/>
        <v>0</v>
      </c>
      <c r="K58" s="34"/>
      <c r="L58" s="34"/>
      <c r="M58" s="34"/>
    </row>
    <row r="59" spans="1:13" ht="15">
      <c r="A59" s="32"/>
      <c r="B59" s="33" t="s">
        <v>289</v>
      </c>
      <c r="C59" s="34">
        <f t="shared" si="2"/>
        <v>7484208362</v>
      </c>
      <c r="D59" s="34"/>
      <c r="E59" s="34">
        <v>7484208362</v>
      </c>
      <c r="F59" s="34"/>
      <c r="G59" s="34"/>
      <c r="H59" s="34"/>
      <c r="I59" s="34"/>
      <c r="J59" s="34">
        <f t="shared" si="3"/>
        <v>0</v>
      </c>
      <c r="K59" s="34"/>
      <c r="L59" s="34"/>
      <c r="M59" s="34"/>
    </row>
    <row r="60" spans="1:13" ht="15">
      <c r="A60" s="32"/>
      <c r="B60" s="33" t="s">
        <v>290</v>
      </c>
      <c r="C60" s="34">
        <f t="shared" si="2"/>
        <v>7237760965</v>
      </c>
      <c r="D60" s="34"/>
      <c r="E60" s="34">
        <v>7237760965</v>
      </c>
      <c r="F60" s="34"/>
      <c r="G60" s="34"/>
      <c r="H60" s="34"/>
      <c r="I60" s="34"/>
      <c r="J60" s="34">
        <f t="shared" si="3"/>
        <v>0</v>
      </c>
      <c r="K60" s="34"/>
      <c r="L60" s="34"/>
      <c r="M60" s="34"/>
    </row>
    <row r="61" spans="1:13" ht="15">
      <c r="A61" s="32"/>
      <c r="B61" s="33" t="s">
        <v>291</v>
      </c>
      <c r="C61" s="34">
        <f t="shared" si="2"/>
        <v>7180124717.440001</v>
      </c>
      <c r="D61" s="34"/>
      <c r="E61" s="34">
        <v>7180124717.440001</v>
      </c>
      <c r="F61" s="34"/>
      <c r="G61" s="34"/>
      <c r="H61" s="34"/>
      <c r="I61" s="34"/>
      <c r="J61" s="34">
        <f t="shared" si="3"/>
        <v>0</v>
      </c>
      <c r="K61" s="34"/>
      <c r="L61" s="34"/>
      <c r="M61" s="34"/>
    </row>
    <row r="62" spans="1:13" ht="15">
      <c r="A62" s="32"/>
      <c r="B62" s="33" t="s">
        <v>292</v>
      </c>
      <c r="C62" s="34">
        <f t="shared" si="2"/>
        <v>12394858000</v>
      </c>
      <c r="D62" s="34"/>
      <c r="E62" s="34">
        <v>12394858000</v>
      </c>
      <c r="F62" s="34"/>
      <c r="G62" s="34"/>
      <c r="H62" s="34"/>
      <c r="I62" s="34"/>
      <c r="J62" s="34">
        <f t="shared" si="3"/>
        <v>0</v>
      </c>
      <c r="K62" s="34"/>
      <c r="L62" s="34"/>
      <c r="M62" s="34"/>
    </row>
    <row r="63" spans="1:13" ht="15">
      <c r="A63" s="32"/>
      <c r="B63" s="33" t="s">
        <v>293</v>
      </c>
      <c r="C63" s="34">
        <f t="shared" si="2"/>
        <v>10339244943.312</v>
      </c>
      <c r="D63" s="34"/>
      <c r="E63" s="34">
        <v>10339244943.312</v>
      </c>
      <c r="F63" s="34"/>
      <c r="G63" s="34"/>
      <c r="H63" s="34"/>
      <c r="I63" s="34"/>
      <c r="J63" s="34">
        <f t="shared" si="3"/>
        <v>0</v>
      </c>
      <c r="K63" s="34"/>
      <c r="L63" s="34"/>
      <c r="M63" s="34"/>
    </row>
    <row r="64" spans="1:13" ht="15">
      <c r="A64" s="32"/>
      <c r="B64" s="33" t="s">
        <v>294</v>
      </c>
      <c r="C64" s="34">
        <f t="shared" si="2"/>
        <v>9305366760</v>
      </c>
      <c r="D64" s="34"/>
      <c r="E64" s="34">
        <v>9305366760</v>
      </c>
      <c r="F64" s="34"/>
      <c r="G64" s="34"/>
      <c r="H64" s="34"/>
      <c r="I64" s="34"/>
      <c r="J64" s="34">
        <f t="shared" si="3"/>
        <v>0</v>
      </c>
      <c r="K64" s="34"/>
      <c r="L64" s="34"/>
      <c r="M64" s="34"/>
    </row>
    <row r="65" spans="1:13" ht="15">
      <c r="A65" s="32"/>
      <c r="B65" s="33" t="s">
        <v>295</v>
      </c>
      <c r="C65" s="34">
        <f t="shared" si="2"/>
        <v>5185131588</v>
      </c>
      <c r="D65" s="34"/>
      <c r="E65" s="34">
        <v>5185131588</v>
      </c>
      <c r="F65" s="34"/>
      <c r="G65" s="34"/>
      <c r="H65" s="34"/>
      <c r="I65" s="34"/>
      <c r="J65" s="34">
        <f t="shared" si="3"/>
        <v>0</v>
      </c>
      <c r="K65" s="34"/>
      <c r="L65" s="34"/>
      <c r="M65" s="34"/>
    </row>
    <row r="66" spans="1:13" ht="15">
      <c r="A66" s="32"/>
      <c r="B66" s="33" t="s">
        <v>296</v>
      </c>
      <c r="C66" s="34">
        <f t="shared" si="2"/>
        <v>6584169164.470589</v>
      </c>
      <c r="D66" s="34"/>
      <c r="E66" s="34">
        <v>6584169164.470589</v>
      </c>
      <c r="F66" s="34"/>
      <c r="G66" s="34"/>
      <c r="H66" s="34"/>
      <c r="I66" s="34"/>
      <c r="J66" s="34">
        <f t="shared" si="3"/>
        <v>0</v>
      </c>
      <c r="K66" s="34"/>
      <c r="L66" s="34"/>
      <c r="M66" s="34"/>
    </row>
    <row r="67" spans="1:13" ht="15">
      <c r="A67" s="32"/>
      <c r="B67" s="33" t="s">
        <v>297</v>
      </c>
      <c r="C67" s="34">
        <f t="shared" si="2"/>
        <v>6928525211.86</v>
      </c>
      <c r="D67" s="34"/>
      <c r="E67" s="34">
        <v>6928525211.86</v>
      </c>
      <c r="F67" s="34"/>
      <c r="G67" s="34"/>
      <c r="H67" s="34"/>
      <c r="I67" s="34"/>
      <c r="J67" s="34">
        <f t="shared" si="3"/>
        <v>0</v>
      </c>
      <c r="K67" s="34"/>
      <c r="L67" s="34"/>
      <c r="M67" s="34"/>
    </row>
    <row r="68" spans="1:13" ht="15">
      <c r="A68" s="32"/>
      <c r="B68" s="33" t="s">
        <v>298</v>
      </c>
      <c r="C68" s="34">
        <f t="shared" si="2"/>
        <v>6330938839.54</v>
      </c>
      <c r="D68" s="34"/>
      <c r="E68" s="34">
        <v>6330938839.54</v>
      </c>
      <c r="F68" s="34"/>
      <c r="G68" s="34"/>
      <c r="H68" s="34"/>
      <c r="I68" s="34"/>
      <c r="J68" s="34">
        <f t="shared" si="3"/>
        <v>0</v>
      </c>
      <c r="K68" s="34"/>
      <c r="L68" s="34"/>
      <c r="M68" s="34"/>
    </row>
    <row r="69" spans="1:13" ht="15">
      <c r="A69" s="32"/>
      <c r="B69" s="33" t="s">
        <v>299</v>
      </c>
      <c r="C69" s="34">
        <f t="shared" si="2"/>
        <v>12623305236.72</v>
      </c>
      <c r="D69" s="34"/>
      <c r="E69" s="34">
        <v>12623305236.72</v>
      </c>
      <c r="F69" s="34"/>
      <c r="G69" s="34"/>
      <c r="H69" s="34"/>
      <c r="I69" s="34"/>
      <c r="J69" s="34">
        <f t="shared" si="3"/>
        <v>0</v>
      </c>
      <c r="K69" s="34"/>
      <c r="L69" s="34"/>
      <c r="M69" s="34"/>
    </row>
    <row r="70" spans="1:13" ht="15">
      <c r="A70" s="32"/>
      <c r="B70" s="33" t="s">
        <v>300</v>
      </c>
      <c r="C70" s="34">
        <f t="shared" si="2"/>
        <v>4692801563.5</v>
      </c>
      <c r="D70" s="34"/>
      <c r="E70" s="34">
        <v>4692801563.5</v>
      </c>
      <c r="F70" s="34"/>
      <c r="G70" s="34"/>
      <c r="H70" s="34"/>
      <c r="I70" s="34"/>
      <c r="J70" s="34">
        <f t="shared" si="3"/>
        <v>0</v>
      </c>
      <c r="K70" s="34"/>
      <c r="L70" s="34"/>
      <c r="M70" s="34"/>
    </row>
    <row r="71" spans="1:13" ht="15">
      <c r="A71" s="32"/>
      <c r="B71" s="33" t="s">
        <v>301</v>
      </c>
      <c r="C71" s="34">
        <f t="shared" si="2"/>
        <v>9748601347.072</v>
      </c>
      <c r="D71" s="34"/>
      <c r="E71" s="34">
        <v>9748601347.072</v>
      </c>
      <c r="F71" s="34"/>
      <c r="G71" s="34"/>
      <c r="H71" s="34"/>
      <c r="I71" s="34"/>
      <c r="J71" s="34">
        <f t="shared" si="3"/>
        <v>0</v>
      </c>
      <c r="K71" s="34"/>
      <c r="L71" s="34"/>
      <c r="M71" s="34"/>
    </row>
    <row r="72" spans="1:13" ht="15">
      <c r="A72" s="32"/>
      <c r="B72" s="33" t="s">
        <v>302</v>
      </c>
      <c r="C72" s="34">
        <f t="shared" si="2"/>
        <v>13600237121.78</v>
      </c>
      <c r="D72" s="34"/>
      <c r="E72" s="34">
        <v>13600237121.78</v>
      </c>
      <c r="F72" s="34"/>
      <c r="G72" s="34"/>
      <c r="H72" s="34"/>
      <c r="I72" s="34"/>
      <c r="J72" s="34">
        <f t="shared" si="3"/>
        <v>0</v>
      </c>
      <c r="K72" s="34"/>
      <c r="L72" s="34"/>
      <c r="M72" s="34"/>
    </row>
    <row r="73" spans="1:13" ht="15">
      <c r="A73" s="32"/>
      <c r="B73" s="33" t="s">
        <v>303</v>
      </c>
      <c r="C73" s="34">
        <f t="shared" si="2"/>
        <v>17197454217.6</v>
      </c>
      <c r="D73" s="34"/>
      <c r="E73" s="34">
        <v>17197454217.6</v>
      </c>
      <c r="F73" s="34"/>
      <c r="G73" s="34"/>
      <c r="H73" s="34"/>
      <c r="I73" s="34"/>
      <c r="J73" s="34">
        <f t="shared" si="3"/>
        <v>0</v>
      </c>
      <c r="K73" s="34"/>
      <c r="L73" s="34"/>
      <c r="M73" s="34"/>
    </row>
    <row r="74" spans="1:13" ht="15">
      <c r="A74" s="32"/>
      <c r="B74" s="33" t="s">
        <v>304</v>
      </c>
      <c r="C74" s="34">
        <f t="shared" si="2"/>
        <v>9829615337.6</v>
      </c>
      <c r="D74" s="34"/>
      <c r="E74" s="34">
        <v>9829615337.6</v>
      </c>
      <c r="F74" s="34"/>
      <c r="G74" s="34"/>
      <c r="H74" s="34"/>
      <c r="I74" s="34"/>
      <c r="J74" s="34">
        <f t="shared" si="3"/>
        <v>0</v>
      </c>
      <c r="K74" s="34"/>
      <c r="L74" s="34"/>
      <c r="M74" s="34"/>
    </row>
    <row r="75" spans="1:13" ht="15">
      <c r="A75" s="32"/>
      <c r="B75" s="33" t="s">
        <v>305</v>
      </c>
      <c r="C75" s="34">
        <f t="shared" si="2"/>
        <v>7736447192</v>
      </c>
      <c r="D75" s="34"/>
      <c r="E75" s="34">
        <v>7736447192</v>
      </c>
      <c r="F75" s="34"/>
      <c r="G75" s="34"/>
      <c r="H75" s="34"/>
      <c r="I75" s="34"/>
      <c r="J75" s="34">
        <f t="shared" si="3"/>
        <v>0</v>
      </c>
      <c r="K75" s="34"/>
      <c r="L75" s="34"/>
      <c r="M75" s="34"/>
    </row>
    <row r="76" spans="1:13" ht="15">
      <c r="A76" s="32"/>
      <c r="B76" s="33" t="s">
        <v>306</v>
      </c>
      <c r="C76" s="34">
        <f t="shared" si="2"/>
        <v>2941855355</v>
      </c>
      <c r="D76" s="34"/>
      <c r="E76" s="34">
        <v>2941855355</v>
      </c>
      <c r="F76" s="34"/>
      <c r="G76" s="34"/>
      <c r="H76" s="34"/>
      <c r="I76" s="34"/>
      <c r="J76" s="34">
        <f t="shared" si="3"/>
        <v>0</v>
      </c>
      <c r="K76" s="34"/>
      <c r="L76" s="34"/>
      <c r="M76" s="34"/>
    </row>
    <row r="77" spans="1:13" ht="30">
      <c r="A77" s="32"/>
      <c r="B77" s="33" t="s">
        <v>307</v>
      </c>
      <c r="C77" s="34">
        <f t="shared" si="2"/>
        <v>10441099564</v>
      </c>
      <c r="D77" s="34"/>
      <c r="E77" s="34">
        <v>10441099564</v>
      </c>
      <c r="F77" s="34"/>
      <c r="G77" s="34"/>
      <c r="H77" s="34"/>
      <c r="I77" s="34"/>
      <c r="J77" s="34">
        <f t="shared" si="3"/>
        <v>0</v>
      </c>
      <c r="K77" s="34"/>
      <c r="L77" s="34"/>
      <c r="M77" s="34"/>
    </row>
    <row r="78" spans="1:13" ht="15">
      <c r="A78" s="32"/>
      <c r="B78" s="33" t="s">
        <v>308</v>
      </c>
      <c r="C78" s="34">
        <f aca="true" t="shared" si="4" ref="C78:C124">D78+E78+F78+G78+H78+I78+J78+M78</f>
        <v>8428489194.224</v>
      </c>
      <c r="D78" s="34"/>
      <c r="E78" s="34">
        <v>8428489194.224</v>
      </c>
      <c r="F78" s="34"/>
      <c r="G78" s="34"/>
      <c r="H78" s="34"/>
      <c r="I78" s="34"/>
      <c r="J78" s="34">
        <f aca="true" t="shared" si="5" ref="J78:J124">K78+L78</f>
        <v>0</v>
      </c>
      <c r="K78" s="34"/>
      <c r="L78" s="34"/>
      <c r="M78" s="34"/>
    </row>
    <row r="79" spans="1:13" ht="15">
      <c r="A79" s="32"/>
      <c r="B79" s="33" t="s">
        <v>309</v>
      </c>
      <c r="C79" s="34">
        <f t="shared" si="4"/>
        <v>16573750934.880001</v>
      </c>
      <c r="D79" s="34"/>
      <c r="E79" s="34">
        <v>16573750934.880001</v>
      </c>
      <c r="F79" s="34"/>
      <c r="G79" s="34"/>
      <c r="H79" s="34"/>
      <c r="I79" s="34"/>
      <c r="J79" s="34">
        <f t="shared" si="5"/>
        <v>0</v>
      </c>
      <c r="K79" s="34"/>
      <c r="L79" s="34"/>
      <c r="M79" s="34"/>
    </row>
    <row r="80" spans="1:13" ht="15">
      <c r="A80" s="32"/>
      <c r="B80" s="33" t="s">
        <v>310</v>
      </c>
      <c r="C80" s="34">
        <f t="shared" si="4"/>
        <v>18118379653.510002</v>
      </c>
      <c r="D80" s="34"/>
      <c r="E80" s="34">
        <v>18118379653.510002</v>
      </c>
      <c r="F80" s="34"/>
      <c r="G80" s="34"/>
      <c r="H80" s="34"/>
      <c r="I80" s="34"/>
      <c r="J80" s="34">
        <f t="shared" si="5"/>
        <v>0</v>
      </c>
      <c r="K80" s="34"/>
      <c r="L80" s="34"/>
      <c r="M80" s="34"/>
    </row>
    <row r="81" spans="1:13" ht="15">
      <c r="A81" s="32"/>
      <c r="B81" s="33" t="s">
        <v>311</v>
      </c>
      <c r="C81" s="34">
        <f t="shared" si="4"/>
        <v>9072476733.9</v>
      </c>
      <c r="D81" s="34"/>
      <c r="E81" s="34">
        <v>9072476733.9</v>
      </c>
      <c r="F81" s="34"/>
      <c r="G81" s="34"/>
      <c r="H81" s="34"/>
      <c r="I81" s="34"/>
      <c r="J81" s="34">
        <f t="shared" si="5"/>
        <v>0</v>
      </c>
      <c r="K81" s="34"/>
      <c r="L81" s="34"/>
      <c r="M81" s="34"/>
    </row>
    <row r="82" spans="1:13" ht="15">
      <c r="A82" s="32"/>
      <c r="B82" s="33" t="s">
        <v>312</v>
      </c>
      <c r="C82" s="34">
        <f t="shared" si="4"/>
        <v>14762853553.2</v>
      </c>
      <c r="D82" s="34"/>
      <c r="E82" s="34">
        <v>14762853553.2</v>
      </c>
      <c r="F82" s="34"/>
      <c r="G82" s="34"/>
      <c r="H82" s="34"/>
      <c r="I82" s="34"/>
      <c r="J82" s="34">
        <f t="shared" si="5"/>
        <v>0</v>
      </c>
      <c r="K82" s="34"/>
      <c r="L82" s="34"/>
      <c r="M82" s="34"/>
    </row>
    <row r="83" spans="1:13" ht="15">
      <c r="A83" s="32"/>
      <c r="B83" s="33" t="s">
        <v>313</v>
      </c>
      <c r="C83" s="34">
        <f t="shared" si="4"/>
        <v>17245306468.54</v>
      </c>
      <c r="D83" s="34"/>
      <c r="E83" s="34">
        <v>17245306468.54</v>
      </c>
      <c r="F83" s="34"/>
      <c r="G83" s="34"/>
      <c r="H83" s="34"/>
      <c r="I83" s="34"/>
      <c r="J83" s="34">
        <f t="shared" si="5"/>
        <v>0</v>
      </c>
      <c r="K83" s="34"/>
      <c r="L83" s="34"/>
      <c r="M83" s="34"/>
    </row>
    <row r="84" spans="1:13" ht="15">
      <c r="A84" s="32"/>
      <c r="B84" s="33" t="s">
        <v>314</v>
      </c>
      <c r="C84" s="34">
        <f t="shared" si="4"/>
        <v>17129335780</v>
      </c>
      <c r="D84" s="34"/>
      <c r="E84" s="34">
        <v>17129335780</v>
      </c>
      <c r="F84" s="34"/>
      <c r="G84" s="34"/>
      <c r="H84" s="34"/>
      <c r="I84" s="34"/>
      <c r="J84" s="34">
        <f t="shared" si="5"/>
        <v>0</v>
      </c>
      <c r="K84" s="34"/>
      <c r="L84" s="34"/>
      <c r="M84" s="34"/>
    </row>
    <row r="85" spans="1:13" ht="15">
      <c r="A85" s="32"/>
      <c r="B85" s="33" t="s">
        <v>315</v>
      </c>
      <c r="C85" s="34">
        <f t="shared" si="4"/>
        <v>8448128668.2</v>
      </c>
      <c r="D85" s="34"/>
      <c r="E85" s="34">
        <v>8448128668.2</v>
      </c>
      <c r="F85" s="34"/>
      <c r="G85" s="34"/>
      <c r="H85" s="34"/>
      <c r="I85" s="34"/>
      <c r="J85" s="34">
        <f t="shared" si="5"/>
        <v>0</v>
      </c>
      <c r="K85" s="34"/>
      <c r="L85" s="34"/>
      <c r="M85" s="34"/>
    </row>
    <row r="86" spans="1:13" ht="15">
      <c r="A86" s="32"/>
      <c r="B86" s="33" t="s">
        <v>316</v>
      </c>
      <c r="C86" s="34">
        <f t="shared" si="4"/>
        <v>8549632195</v>
      </c>
      <c r="D86" s="34"/>
      <c r="E86" s="34">
        <v>8549632195</v>
      </c>
      <c r="F86" s="34"/>
      <c r="G86" s="34"/>
      <c r="H86" s="34"/>
      <c r="I86" s="34"/>
      <c r="J86" s="34">
        <f t="shared" si="5"/>
        <v>0</v>
      </c>
      <c r="K86" s="34"/>
      <c r="L86" s="34"/>
      <c r="M86" s="34"/>
    </row>
    <row r="87" spans="1:13" ht="30">
      <c r="A87" s="32"/>
      <c r="B87" s="33" t="s">
        <v>317</v>
      </c>
      <c r="C87" s="34">
        <f t="shared" si="4"/>
        <v>9603947798.4</v>
      </c>
      <c r="D87" s="34"/>
      <c r="E87" s="34">
        <v>9603947798.4</v>
      </c>
      <c r="F87" s="34"/>
      <c r="G87" s="34"/>
      <c r="H87" s="34"/>
      <c r="I87" s="34"/>
      <c r="J87" s="34">
        <f t="shared" si="5"/>
        <v>0</v>
      </c>
      <c r="K87" s="34"/>
      <c r="L87" s="34"/>
      <c r="M87" s="34"/>
    </row>
    <row r="88" spans="1:13" ht="15">
      <c r="A88" s="32"/>
      <c r="B88" s="33" t="s">
        <v>318</v>
      </c>
      <c r="C88" s="34">
        <f t="shared" si="4"/>
        <v>5493900603.636364</v>
      </c>
      <c r="D88" s="34"/>
      <c r="E88" s="34">
        <v>5493900603.636364</v>
      </c>
      <c r="F88" s="34"/>
      <c r="G88" s="34"/>
      <c r="H88" s="34"/>
      <c r="I88" s="34"/>
      <c r="J88" s="34">
        <f t="shared" si="5"/>
        <v>0</v>
      </c>
      <c r="K88" s="34"/>
      <c r="L88" s="34"/>
      <c r="M88" s="34"/>
    </row>
    <row r="89" spans="1:13" ht="15">
      <c r="A89" s="32"/>
      <c r="B89" s="33" t="s">
        <v>356</v>
      </c>
      <c r="C89" s="34">
        <f t="shared" si="4"/>
        <v>3183732320</v>
      </c>
      <c r="D89" s="34"/>
      <c r="E89" s="34">
        <v>3183732320</v>
      </c>
      <c r="F89" s="34"/>
      <c r="G89" s="34"/>
      <c r="H89" s="34"/>
      <c r="I89" s="34"/>
      <c r="J89" s="34">
        <f t="shared" si="5"/>
        <v>0</v>
      </c>
      <c r="K89" s="34"/>
      <c r="L89" s="34"/>
      <c r="M89" s="34"/>
    </row>
    <row r="90" spans="1:13" ht="15">
      <c r="A90" s="32"/>
      <c r="B90" s="33" t="s">
        <v>319</v>
      </c>
      <c r="C90" s="34">
        <f t="shared" si="4"/>
        <v>944972400</v>
      </c>
      <c r="D90" s="34"/>
      <c r="E90" s="34">
        <v>944972400</v>
      </c>
      <c r="F90" s="34"/>
      <c r="G90" s="34"/>
      <c r="H90" s="34"/>
      <c r="I90" s="34"/>
      <c r="J90" s="34">
        <f t="shared" si="5"/>
        <v>0</v>
      </c>
      <c r="K90" s="34"/>
      <c r="L90" s="34"/>
      <c r="M90" s="34"/>
    </row>
    <row r="91" spans="1:13" ht="15">
      <c r="A91" s="32"/>
      <c r="B91" s="33" t="s">
        <v>320</v>
      </c>
      <c r="C91" s="34">
        <f t="shared" si="4"/>
        <v>4244994886</v>
      </c>
      <c r="D91" s="34"/>
      <c r="E91" s="34">
        <v>4244994886</v>
      </c>
      <c r="F91" s="34"/>
      <c r="G91" s="34"/>
      <c r="H91" s="34"/>
      <c r="I91" s="34"/>
      <c r="J91" s="34">
        <f t="shared" si="5"/>
        <v>0</v>
      </c>
      <c r="K91" s="34"/>
      <c r="L91" s="34"/>
      <c r="M91" s="34"/>
    </row>
    <row r="92" spans="1:13" ht="15">
      <c r="A92" s="32"/>
      <c r="B92" s="33" t="s">
        <v>321</v>
      </c>
      <c r="C92" s="34">
        <f t="shared" si="4"/>
        <v>1649062369.28</v>
      </c>
      <c r="D92" s="34"/>
      <c r="E92" s="34">
        <v>1649062369.28</v>
      </c>
      <c r="F92" s="34"/>
      <c r="G92" s="34"/>
      <c r="H92" s="34"/>
      <c r="I92" s="34"/>
      <c r="J92" s="34">
        <f t="shared" si="5"/>
        <v>0</v>
      </c>
      <c r="K92" s="34"/>
      <c r="L92" s="34"/>
      <c r="M92" s="34"/>
    </row>
    <row r="93" spans="1:13" ht="15">
      <c r="A93" s="32"/>
      <c r="B93" s="33" t="s">
        <v>358</v>
      </c>
      <c r="C93" s="34">
        <f>D93+E93+F93+G93+H93+I93+J93+M93</f>
        <v>5279000000</v>
      </c>
      <c r="D93" s="34"/>
      <c r="E93" s="34">
        <v>5279000000</v>
      </c>
      <c r="F93" s="34"/>
      <c r="G93" s="34"/>
      <c r="H93" s="34"/>
      <c r="I93" s="34"/>
      <c r="J93" s="34">
        <f>K93+L93</f>
        <v>0</v>
      </c>
      <c r="K93" s="34"/>
      <c r="L93" s="34"/>
      <c r="M93" s="34"/>
    </row>
    <row r="94" spans="1:13" ht="15">
      <c r="A94" s="32"/>
      <c r="B94" s="33" t="s">
        <v>357</v>
      </c>
      <c r="C94" s="34">
        <f t="shared" si="4"/>
        <v>3424000000</v>
      </c>
      <c r="D94" s="34"/>
      <c r="E94" s="34">
        <v>3424000000</v>
      </c>
      <c r="F94" s="34"/>
      <c r="G94" s="34"/>
      <c r="H94" s="34"/>
      <c r="I94" s="34"/>
      <c r="J94" s="34">
        <f t="shared" si="5"/>
        <v>0</v>
      </c>
      <c r="K94" s="34"/>
      <c r="L94" s="34"/>
      <c r="M94" s="34"/>
    </row>
    <row r="95" spans="1:13" ht="15">
      <c r="A95" s="32"/>
      <c r="B95" s="33" t="s">
        <v>322</v>
      </c>
      <c r="C95" s="34">
        <f t="shared" si="4"/>
        <v>1441000000</v>
      </c>
      <c r="D95" s="34"/>
      <c r="E95" s="34">
        <v>1441000000</v>
      </c>
      <c r="F95" s="34"/>
      <c r="G95" s="34"/>
      <c r="H95" s="34"/>
      <c r="I95" s="34"/>
      <c r="J95" s="34">
        <f t="shared" si="5"/>
        <v>0</v>
      </c>
      <c r="K95" s="34"/>
      <c r="L95" s="34"/>
      <c r="M95" s="34"/>
    </row>
    <row r="96" spans="1:13" ht="15">
      <c r="A96" s="32"/>
      <c r="B96" s="33" t="s">
        <v>323</v>
      </c>
      <c r="C96" s="34">
        <f t="shared" si="4"/>
        <v>1050000000</v>
      </c>
      <c r="D96" s="34"/>
      <c r="E96" s="34">
        <v>1050000000</v>
      </c>
      <c r="F96" s="34"/>
      <c r="G96" s="34"/>
      <c r="H96" s="34"/>
      <c r="I96" s="34"/>
      <c r="J96" s="34">
        <f t="shared" si="5"/>
        <v>0</v>
      </c>
      <c r="K96" s="34"/>
      <c r="L96" s="34"/>
      <c r="M96" s="34"/>
    </row>
    <row r="97" spans="1:13" ht="15">
      <c r="A97" s="32"/>
      <c r="B97" s="33" t="s">
        <v>324</v>
      </c>
      <c r="C97" s="34">
        <f t="shared" si="4"/>
        <v>30343000000</v>
      </c>
      <c r="D97" s="34"/>
      <c r="E97" s="34">
        <v>30343000000</v>
      </c>
      <c r="F97" s="34"/>
      <c r="G97" s="34"/>
      <c r="H97" s="34"/>
      <c r="I97" s="34"/>
      <c r="J97" s="34">
        <f t="shared" si="5"/>
        <v>0</v>
      </c>
      <c r="K97" s="34"/>
      <c r="L97" s="34"/>
      <c r="M97" s="34"/>
    </row>
    <row r="98" spans="1:13" ht="15">
      <c r="A98" s="32"/>
      <c r="B98" s="33" t="s">
        <v>325</v>
      </c>
      <c r="C98" s="34">
        <f t="shared" si="4"/>
        <v>1962000000</v>
      </c>
      <c r="D98" s="34"/>
      <c r="E98" s="34">
        <v>1962000000</v>
      </c>
      <c r="F98" s="34"/>
      <c r="G98" s="34"/>
      <c r="H98" s="34"/>
      <c r="I98" s="34"/>
      <c r="J98" s="34">
        <f t="shared" si="5"/>
        <v>0</v>
      </c>
      <c r="K98" s="34"/>
      <c r="L98" s="34"/>
      <c r="M98" s="34"/>
    </row>
    <row r="99" spans="1:13" ht="15">
      <c r="A99" s="32"/>
      <c r="B99" s="33" t="s">
        <v>326</v>
      </c>
      <c r="C99" s="34">
        <f t="shared" si="4"/>
        <v>2397000000</v>
      </c>
      <c r="D99" s="34"/>
      <c r="E99" s="34">
        <f>1208000000+1189000000</f>
        <v>2397000000</v>
      </c>
      <c r="F99" s="34"/>
      <c r="G99" s="34"/>
      <c r="H99" s="34"/>
      <c r="I99" s="34"/>
      <c r="J99" s="34">
        <f t="shared" si="5"/>
        <v>0</v>
      </c>
      <c r="K99" s="34"/>
      <c r="L99" s="34"/>
      <c r="M99" s="34"/>
    </row>
    <row r="100" spans="1:13" ht="15">
      <c r="A100" s="32"/>
      <c r="B100" s="33" t="s">
        <v>359</v>
      </c>
      <c r="C100" s="34">
        <f>D100+E100+F100+G100+H100+I100+J100+M100</f>
        <v>81352000000</v>
      </c>
      <c r="D100" s="34"/>
      <c r="E100" s="34">
        <f>6695000000+5000000000+12034000000+240000000+25647000000+30433000000+320000000+983000000</f>
        <v>81352000000</v>
      </c>
      <c r="F100" s="34"/>
      <c r="G100" s="34"/>
      <c r="H100" s="34"/>
      <c r="I100" s="34"/>
      <c r="J100" s="34">
        <f>K100+L100</f>
        <v>0</v>
      </c>
      <c r="K100" s="34"/>
      <c r="L100" s="34"/>
      <c r="M100" s="34"/>
    </row>
    <row r="101" spans="1:13" ht="15">
      <c r="A101" s="32"/>
      <c r="B101" s="33" t="s">
        <v>327</v>
      </c>
      <c r="C101" s="34">
        <f t="shared" si="4"/>
        <v>3485000000</v>
      </c>
      <c r="D101" s="34"/>
      <c r="E101" s="34">
        <f>300000000+2785000000+400000000</f>
        <v>3485000000</v>
      </c>
      <c r="F101" s="34"/>
      <c r="G101" s="34"/>
      <c r="H101" s="34"/>
      <c r="I101" s="34"/>
      <c r="J101" s="34">
        <f t="shared" si="5"/>
        <v>0</v>
      </c>
      <c r="K101" s="34"/>
      <c r="L101" s="34"/>
      <c r="M101" s="34"/>
    </row>
    <row r="102" spans="1:13" ht="15">
      <c r="A102" s="32"/>
      <c r="B102" s="33" t="s">
        <v>328</v>
      </c>
      <c r="C102" s="34">
        <f t="shared" si="4"/>
        <v>3608000000</v>
      </c>
      <c r="D102" s="34"/>
      <c r="E102" s="34">
        <v>3608000000</v>
      </c>
      <c r="F102" s="34"/>
      <c r="G102" s="34"/>
      <c r="H102" s="34"/>
      <c r="I102" s="34"/>
      <c r="J102" s="34">
        <f t="shared" si="5"/>
        <v>0</v>
      </c>
      <c r="K102" s="34"/>
      <c r="L102" s="34"/>
      <c r="M102" s="34"/>
    </row>
    <row r="103" spans="1:13" ht="15">
      <c r="A103" s="32"/>
      <c r="B103" s="33" t="s">
        <v>360</v>
      </c>
      <c r="C103" s="34">
        <f>D103+E103+F103+G103+H103+I103+J103+M103</f>
        <v>351000000</v>
      </c>
      <c r="D103" s="34"/>
      <c r="E103" s="34">
        <v>351000000</v>
      </c>
      <c r="F103" s="34"/>
      <c r="G103" s="34"/>
      <c r="H103" s="34"/>
      <c r="I103" s="34"/>
      <c r="J103" s="34">
        <f>K103+L103</f>
        <v>0</v>
      </c>
      <c r="K103" s="34"/>
      <c r="L103" s="34"/>
      <c r="M103" s="34"/>
    </row>
    <row r="104" spans="1:13" ht="15">
      <c r="A104" s="32"/>
      <c r="B104" s="33" t="s">
        <v>329</v>
      </c>
      <c r="C104" s="34">
        <f t="shared" si="4"/>
        <v>918000000</v>
      </c>
      <c r="D104" s="34"/>
      <c r="E104" s="34">
        <v>918000000</v>
      </c>
      <c r="F104" s="34"/>
      <c r="G104" s="34"/>
      <c r="H104" s="34"/>
      <c r="I104" s="34"/>
      <c r="J104" s="34">
        <f t="shared" si="5"/>
        <v>0</v>
      </c>
      <c r="K104" s="34"/>
      <c r="L104" s="34"/>
      <c r="M104" s="34"/>
    </row>
    <row r="105" spans="1:13" ht="15">
      <c r="A105" s="32"/>
      <c r="B105" s="33" t="s">
        <v>330</v>
      </c>
      <c r="C105" s="34">
        <f t="shared" si="4"/>
        <v>468000000</v>
      </c>
      <c r="D105" s="34"/>
      <c r="E105" s="34">
        <v>468000000</v>
      </c>
      <c r="F105" s="34"/>
      <c r="G105" s="34"/>
      <c r="H105" s="34"/>
      <c r="I105" s="34"/>
      <c r="J105" s="34">
        <f t="shared" si="5"/>
        <v>0</v>
      </c>
      <c r="K105" s="34"/>
      <c r="L105" s="34"/>
      <c r="M105" s="34"/>
    </row>
    <row r="106" spans="1:13" ht="15">
      <c r="A106" s="32"/>
      <c r="B106" s="33" t="s">
        <v>331</v>
      </c>
      <c r="C106" s="34">
        <f t="shared" si="4"/>
        <v>432000000</v>
      </c>
      <c r="D106" s="34"/>
      <c r="E106" s="34">
        <v>432000000</v>
      </c>
      <c r="F106" s="34"/>
      <c r="G106" s="34"/>
      <c r="H106" s="34"/>
      <c r="I106" s="34"/>
      <c r="J106" s="34">
        <f t="shared" si="5"/>
        <v>0</v>
      </c>
      <c r="K106" s="34"/>
      <c r="L106" s="34"/>
      <c r="M106" s="34"/>
    </row>
    <row r="107" spans="1:13" ht="15">
      <c r="A107" s="32"/>
      <c r="B107" s="33" t="s">
        <v>332</v>
      </c>
      <c r="C107" s="34">
        <f t="shared" si="4"/>
        <v>102000000</v>
      </c>
      <c r="D107" s="34"/>
      <c r="E107" s="34">
        <v>102000000</v>
      </c>
      <c r="F107" s="34"/>
      <c r="G107" s="34"/>
      <c r="H107" s="34"/>
      <c r="I107" s="34"/>
      <c r="J107" s="34">
        <f t="shared" si="5"/>
        <v>0</v>
      </c>
      <c r="K107" s="34"/>
      <c r="L107" s="34"/>
      <c r="M107" s="34"/>
    </row>
    <row r="108" spans="1:14" ht="15">
      <c r="A108" s="32"/>
      <c r="B108" s="33" t="s">
        <v>333</v>
      </c>
      <c r="C108" s="34">
        <f t="shared" si="4"/>
        <v>14189432301</v>
      </c>
      <c r="D108" s="34"/>
      <c r="E108" s="34">
        <v>13849361722</v>
      </c>
      <c r="F108" s="34"/>
      <c r="G108" s="34"/>
      <c r="H108" s="34">
        <v>340070579</v>
      </c>
      <c r="I108" s="34"/>
      <c r="J108" s="34">
        <f t="shared" si="5"/>
        <v>0</v>
      </c>
      <c r="K108" s="34"/>
      <c r="L108" s="34"/>
      <c r="M108" s="34"/>
      <c r="N108" s="35"/>
    </row>
    <row r="109" spans="1:14" ht="30">
      <c r="A109" s="32"/>
      <c r="B109" s="33" t="s">
        <v>334</v>
      </c>
      <c r="C109" s="34">
        <f t="shared" si="4"/>
        <v>12996270503</v>
      </c>
      <c r="D109" s="34"/>
      <c r="E109" s="34">
        <v>12671234096</v>
      </c>
      <c r="F109" s="34"/>
      <c r="G109" s="34"/>
      <c r="H109" s="34">
        <v>325036407</v>
      </c>
      <c r="I109" s="34"/>
      <c r="J109" s="34">
        <f t="shared" si="5"/>
        <v>0</v>
      </c>
      <c r="K109" s="34"/>
      <c r="L109" s="34"/>
      <c r="M109" s="34"/>
      <c r="N109" s="35"/>
    </row>
    <row r="110" spans="1:14" ht="15">
      <c r="A110" s="32"/>
      <c r="B110" s="33" t="s">
        <v>335</v>
      </c>
      <c r="C110" s="34">
        <f t="shared" si="4"/>
        <v>11197987692</v>
      </c>
      <c r="D110" s="34"/>
      <c r="E110" s="34">
        <v>10919305018</v>
      </c>
      <c r="F110" s="34"/>
      <c r="G110" s="34"/>
      <c r="H110" s="34">
        <v>278682674</v>
      </c>
      <c r="I110" s="34"/>
      <c r="J110" s="34">
        <f t="shared" si="5"/>
        <v>0</v>
      </c>
      <c r="K110" s="34"/>
      <c r="L110" s="34"/>
      <c r="M110" s="34"/>
      <c r="N110" s="35"/>
    </row>
    <row r="111" spans="1:14" ht="15">
      <c r="A111" s="32"/>
      <c r="B111" s="33" t="s">
        <v>336</v>
      </c>
      <c r="C111" s="34">
        <f t="shared" si="4"/>
        <v>12424889389</v>
      </c>
      <c r="D111" s="34"/>
      <c r="E111" s="34">
        <v>12113689074</v>
      </c>
      <c r="F111" s="34"/>
      <c r="G111" s="34"/>
      <c r="H111" s="34">
        <v>311200315</v>
      </c>
      <c r="I111" s="34"/>
      <c r="J111" s="34">
        <f t="shared" si="5"/>
        <v>0</v>
      </c>
      <c r="K111" s="34"/>
      <c r="L111" s="34"/>
      <c r="M111" s="34"/>
      <c r="N111" s="35"/>
    </row>
    <row r="112" spans="1:14" ht="15">
      <c r="A112" s="32"/>
      <c r="B112" s="33" t="s">
        <v>337</v>
      </c>
      <c r="C112" s="34">
        <f t="shared" si="4"/>
        <v>15102378297</v>
      </c>
      <c r="D112" s="34"/>
      <c r="E112" s="34">
        <v>14731932234</v>
      </c>
      <c r="F112" s="34"/>
      <c r="G112" s="34"/>
      <c r="H112" s="34">
        <v>370446063</v>
      </c>
      <c r="I112" s="34"/>
      <c r="J112" s="34">
        <f t="shared" si="5"/>
        <v>0</v>
      </c>
      <c r="K112" s="34"/>
      <c r="L112" s="34"/>
      <c r="M112" s="34"/>
      <c r="N112" s="35"/>
    </row>
    <row r="113" spans="1:14" ht="15">
      <c r="A113" s="32"/>
      <c r="B113" s="33" t="s">
        <v>338</v>
      </c>
      <c r="C113" s="34">
        <f t="shared" si="4"/>
        <v>12333506550</v>
      </c>
      <c r="D113" s="34"/>
      <c r="E113" s="34">
        <v>12031377380</v>
      </c>
      <c r="F113" s="34"/>
      <c r="G113" s="34"/>
      <c r="H113" s="34">
        <v>302129170</v>
      </c>
      <c r="I113" s="34"/>
      <c r="J113" s="34">
        <f t="shared" si="5"/>
        <v>0</v>
      </c>
      <c r="K113" s="34"/>
      <c r="L113" s="34"/>
      <c r="M113" s="34"/>
      <c r="N113" s="35"/>
    </row>
    <row r="114" spans="1:14" ht="15">
      <c r="A114" s="32"/>
      <c r="B114" s="33" t="s">
        <v>339</v>
      </c>
      <c r="C114" s="34">
        <f t="shared" si="4"/>
        <v>12728419378</v>
      </c>
      <c r="D114" s="34"/>
      <c r="E114" s="34">
        <v>12423934165</v>
      </c>
      <c r="F114" s="34"/>
      <c r="G114" s="34"/>
      <c r="H114" s="34">
        <v>304485213</v>
      </c>
      <c r="I114" s="34"/>
      <c r="J114" s="34">
        <f t="shared" si="5"/>
        <v>0</v>
      </c>
      <c r="K114" s="34"/>
      <c r="L114" s="34"/>
      <c r="M114" s="34"/>
      <c r="N114" s="35"/>
    </row>
    <row r="115" spans="1:14" ht="15">
      <c r="A115" s="32"/>
      <c r="B115" s="33" t="s">
        <v>340</v>
      </c>
      <c r="C115" s="34">
        <f t="shared" si="4"/>
        <v>15890623025</v>
      </c>
      <c r="D115" s="34"/>
      <c r="E115" s="34">
        <v>15510646284</v>
      </c>
      <c r="F115" s="34"/>
      <c r="G115" s="34"/>
      <c r="H115" s="34">
        <v>379976741</v>
      </c>
      <c r="I115" s="34"/>
      <c r="J115" s="34">
        <f t="shared" si="5"/>
        <v>0</v>
      </c>
      <c r="K115" s="34"/>
      <c r="L115" s="34"/>
      <c r="M115" s="34"/>
      <c r="N115" s="35"/>
    </row>
    <row r="116" spans="1:14" ht="15">
      <c r="A116" s="32"/>
      <c r="B116" s="33" t="s">
        <v>341</v>
      </c>
      <c r="C116" s="34">
        <f t="shared" si="4"/>
        <v>11654620988</v>
      </c>
      <c r="D116" s="34"/>
      <c r="E116" s="34">
        <v>11366173467</v>
      </c>
      <c r="F116" s="34"/>
      <c r="G116" s="34"/>
      <c r="H116" s="34">
        <v>288447521</v>
      </c>
      <c r="I116" s="34"/>
      <c r="J116" s="34">
        <f t="shared" si="5"/>
        <v>0</v>
      </c>
      <c r="K116" s="34"/>
      <c r="L116" s="34"/>
      <c r="M116" s="34"/>
      <c r="N116" s="35"/>
    </row>
    <row r="117" spans="1:14" ht="15">
      <c r="A117" s="32"/>
      <c r="B117" s="33" t="s">
        <v>342</v>
      </c>
      <c r="C117" s="34">
        <f t="shared" si="4"/>
        <v>13412217498</v>
      </c>
      <c r="D117" s="34"/>
      <c r="E117" s="34">
        <v>13082341787</v>
      </c>
      <c r="F117" s="34"/>
      <c r="G117" s="34"/>
      <c r="H117" s="34">
        <v>329875711</v>
      </c>
      <c r="I117" s="34"/>
      <c r="J117" s="34">
        <f t="shared" si="5"/>
        <v>0</v>
      </c>
      <c r="K117" s="34"/>
      <c r="L117" s="34"/>
      <c r="M117" s="34"/>
      <c r="N117" s="35"/>
    </row>
    <row r="118" spans="1:14" ht="15">
      <c r="A118" s="32"/>
      <c r="B118" s="33" t="s">
        <v>343</v>
      </c>
      <c r="C118" s="34">
        <f t="shared" si="4"/>
        <v>11844212473</v>
      </c>
      <c r="D118" s="34"/>
      <c r="E118" s="34">
        <v>11546966787</v>
      </c>
      <c r="F118" s="34"/>
      <c r="G118" s="34"/>
      <c r="H118" s="34">
        <v>297245686</v>
      </c>
      <c r="I118" s="34"/>
      <c r="J118" s="34">
        <f t="shared" si="5"/>
        <v>0</v>
      </c>
      <c r="K118" s="34"/>
      <c r="L118" s="34"/>
      <c r="M118" s="34"/>
      <c r="N118" s="35"/>
    </row>
    <row r="119" spans="1:13" ht="15">
      <c r="A119" s="32"/>
      <c r="B119" s="33" t="s">
        <v>344</v>
      </c>
      <c r="C119" s="34">
        <f t="shared" si="4"/>
        <v>0</v>
      </c>
      <c r="D119" s="34"/>
      <c r="E119" s="34"/>
      <c r="F119" s="34"/>
      <c r="G119" s="34"/>
      <c r="H119" s="34"/>
      <c r="I119" s="34"/>
      <c r="J119" s="34">
        <f t="shared" si="5"/>
        <v>0</v>
      </c>
      <c r="K119" s="34"/>
      <c r="L119" s="34"/>
      <c r="M119" s="34"/>
    </row>
    <row r="120" spans="1:13" ht="30">
      <c r="A120" s="32"/>
      <c r="B120" s="33" t="s">
        <v>345</v>
      </c>
      <c r="C120" s="34">
        <f t="shared" si="4"/>
        <v>28068000000</v>
      </c>
      <c r="D120" s="34"/>
      <c r="E120" s="34">
        <f>28068000000</f>
        <v>28068000000</v>
      </c>
      <c r="F120" s="34"/>
      <c r="G120" s="34"/>
      <c r="H120" s="34"/>
      <c r="I120" s="34"/>
      <c r="J120" s="34">
        <f t="shared" si="5"/>
        <v>0</v>
      </c>
      <c r="K120" s="34"/>
      <c r="L120" s="34"/>
      <c r="M120" s="34"/>
    </row>
    <row r="121" spans="1:13" ht="30">
      <c r="A121" s="32"/>
      <c r="B121" s="33" t="s">
        <v>346</v>
      </c>
      <c r="C121" s="34">
        <f t="shared" si="4"/>
        <v>0</v>
      </c>
      <c r="D121" s="34"/>
      <c r="E121" s="34"/>
      <c r="F121" s="34"/>
      <c r="G121" s="34"/>
      <c r="H121" s="34"/>
      <c r="I121" s="34"/>
      <c r="J121" s="34">
        <f t="shared" si="5"/>
        <v>0</v>
      </c>
      <c r="K121" s="34"/>
      <c r="L121" s="34"/>
      <c r="M121" s="34"/>
    </row>
    <row r="122" spans="1:13" ht="30">
      <c r="A122" s="32"/>
      <c r="B122" s="33" t="s">
        <v>347</v>
      </c>
      <c r="C122" s="34">
        <f t="shared" si="4"/>
        <v>0</v>
      </c>
      <c r="D122" s="34"/>
      <c r="E122" s="34"/>
      <c r="F122" s="34"/>
      <c r="G122" s="34"/>
      <c r="H122" s="34"/>
      <c r="I122" s="34"/>
      <c r="J122" s="34">
        <f t="shared" si="5"/>
        <v>0</v>
      </c>
      <c r="K122" s="34"/>
      <c r="L122" s="34"/>
      <c r="M122" s="34"/>
    </row>
    <row r="123" spans="1:13" ht="30">
      <c r="A123" s="32"/>
      <c r="B123" s="33" t="s">
        <v>348</v>
      </c>
      <c r="C123" s="34">
        <f t="shared" si="4"/>
        <v>0</v>
      </c>
      <c r="D123" s="34"/>
      <c r="E123" s="34"/>
      <c r="F123" s="34"/>
      <c r="G123" s="34"/>
      <c r="H123" s="34"/>
      <c r="I123" s="34"/>
      <c r="J123" s="34">
        <f t="shared" si="5"/>
        <v>0</v>
      </c>
      <c r="K123" s="34"/>
      <c r="L123" s="34"/>
      <c r="M123" s="34"/>
    </row>
    <row r="124" spans="1:13" ht="15">
      <c r="A124" s="32"/>
      <c r="B124" s="33" t="s">
        <v>349</v>
      </c>
      <c r="C124" s="34">
        <f t="shared" si="4"/>
        <v>4493000000</v>
      </c>
      <c r="D124" s="34"/>
      <c r="E124" s="34">
        <v>4493000000</v>
      </c>
      <c r="F124" s="34"/>
      <c r="G124" s="34"/>
      <c r="H124" s="34"/>
      <c r="I124" s="34"/>
      <c r="J124" s="34">
        <f t="shared" si="5"/>
        <v>0</v>
      </c>
      <c r="K124" s="34"/>
      <c r="L124" s="34"/>
      <c r="M124" s="34"/>
    </row>
    <row r="125" spans="1:13" ht="57">
      <c r="A125" s="29" t="s">
        <v>13</v>
      </c>
      <c r="B125" s="30" t="s">
        <v>145</v>
      </c>
      <c r="C125" s="31">
        <f aca="true" t="shared" si="6" ref="C125:C130">D125+E125+F125+G125+H125+I125+J125+M125</f>
        <v>0</v>
      </c>
      <c r="D125" s="31"/>
      <c r="E125" s="31"/>
      <c r="F125" s="31"/>
      <c r="G125" s="31"/>
      <c r="H125" s="31"/>
      <c r="I125" s="31"/>
      <c r="J125" s="31">
        <f aca="true" t="shared" si="7" ref="J125:J130">K125+L125</f>
        <v>0</v>
      </c>
      <c r="K125" s="31"/>
      <c r="L125" s="31"/>
      <c r="M125" s="31"/>
    </row>
    <row r="126" spans="1:13" ht="42.75">
      <c r="A126" s="29" t="s">
        <v>17</v>
      </c>
      <c r="B126" s="30" t="s">
        <v>146</v>
      </c>
      <c r="C126" s="31">
        <f t="shared" si="6"/>
        <v>0</v>
      </c>
      <c r="D126" s="31"/>
      <c r="E126" s="31"/>
      <c r="F126" s="31"/>
      <c r="G126" s="31"/>
      <c r="H126" s="31"/>
      <c r="I126" s="31"/>
      <c r="J126" s="31">
        <f t="shared" si="7"/>
        <v>0</v>
      </c>
      <c r="K126" s="31"/>
      <c r="L126" s="31"/>
      <c r="M126" s="31"/>
    </row>
    <row r="127" spans="1:13" ht="28.5">
      <c r="A127" s="29" t="s">
        <v>19</v>
      </c>
      <c r="B127" s="30" t="s">
        <v>147</v>
      </c>
      <c r="C127" s="31">
        <f t="shared" si="6"/>
        <v>22744603038</v>
      </c>
      <c r="D127" s="31"/>
      <c r="E127" s="31"/>
      <c r="F127" s="31"/>
      <c r="G127" s="31"/>
      <c r="H127" s="31">
        <f>22476000000+268603038</f>
        <v>22744603038</v>
      </c>
      <c r="I127" s="31"/>
      <c r="J127" s="31">
        <f t="shared" si="7"/>
        <v>0</v>
      </c>
      <c r="K127" s="31"/>
      <c r="L127" s="31"/>
      <c r="M127" s="31"/>
    </row>
    <row r="128" spans="1:13" ht="42.75">
      <c r="A128" s="29" t="s">
        <v>21</v>
      </c>
      <c r="B128" s="30" t="s">
        <v>148</v>
      </c>
      <c r="C128" s="31">
        <f t="shared" si="6"/>
        <v>0</v>
      </c>
      <c r="D128" s="31"/>
      <c r="E128" s="31"/>
      <c r="F128" s="31"/>
      <c r="G128" s="31"/>
      <c r="H128" s="31"/>
      <c r="I128" s="31"/>
      <c r="J128" s="31">
        <f t="shared" si="7"/>
        <v>0</v>
      </c>
      <c r="K128" s="31"/>
      <c r="L128" s="31"/>
      <c r="M128" s="31"/>
    </row>
    <row r="129" spans="1:13" ht="57">
      <c r="A129" s="29" t="s">
        <v>90</v>
      </c>
      <c r="B129" s="30" t="s">
        <v>149</v>
      </c>
      <c r="C129" s="31">
        <f t="shared" si="6"/>
        <v>0</v>
      </c>
      <c r="D129" s="31"/>
      <c r="E129" s="31"/>
      <c r="F129" s="31"/>
      <c r="G129" s="31"/>
      <c r="H129" s="31"/>
      <c r="I129" s="31"/>
      <c r="J129" s="31">
        <f t="shared" si="7"/>
        <v>0</v>
      </c>
      <c r="K129" s="31"/>
      <c r="L129" s="31"/>
      <c r="M129" s="31"/>
    </row>
    <row r="130" spans="1:13" ht="42.75">
      <c r="A130" s="29" t="s">
        <v>150</v>
      </c>
      <c r="B130" s="30" t="s">
        <v>151</v>
      </c>
      <c r="C130" s="31">
        <f t="shared" si="6"/>
        <v>0</v>
      </c>
      <c r="D130" s="31"/>
      <c r="E130" s="31"/>
      <c r="F130" s="31"/>
      <c r="G130" s="31"/>
      <c r="H130" s="31"/>
      <c r="I130" s="31"/>
      <c r="J130" s="31">
        <f t="shared" si="7"/>
        <v>0</v>
      </c>
      <c r="K130" s="31"/>
      <c r="L130" s="31"/>
      <c r="M130" s="31"/>
    </row>
  </sheetData>
  <sheetProtection/>
  <mergeCells count="16">
    <mergeCell ref="A4:M4"/>
    <mergeCell ref="A8:A9"/>
    <mergeCell ref="B8:B9"/>
    <mergeCell ref="C8:C9"/>
    <mergeCell ref="D8:D9"/>
    <mergeCell ref="E8:E9"/>
    <mergeCell ref="A1:C1"/>
    <mergeCell ref="F8:F9"/>
    <mergeCell ref="G8:G9"/>
    <mergeCell ref="H8:H9"/>
    <mergeCell ref="I8:I9"/>
    <mergeCell ref="J8:L8"/>
    <mergeCell ref="K1:M1"/>
    <mergeCell ref="A2:C2"/>
    <mergeCell ref="A5:M5"/>
    <mergeCell ref="M8:M9"/>
  </mergeCells>
  <printOptions/>
  <pageMargins left="0.5511811023622047" right="0.15748031496062992" top="0.1968503937007874" bottom="0.1968503937007874" header="0.15748031496062992" footer="0.1574803149606299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S122"/>
  <sheetViews>
    <sheetView zoomScalePageLayoutView="0" workbookViewId="0" topLeftCell="A1">
      <selection activeCell="A1" sqref="A1:C1"/>
    </sheetView>
  </sheetViews>
  <sheetFormatPr defaultColWidth="9.140625" defaultRowHeight="15"/>
  <cols>
    <col min="1" max="1" width="9.140625" style="27" customWidth="1"/>
    <col min="2" max="2" width="23.28125" style="27" customWidth="1"/>
    <col min="3" max="14" width="9.140625" style="27" customWidth="1"/>
    <col min="15" max="15" width="10.00390625" style="27" bestFit="1" customWidth="1"/>
    <col min="16" max="16384" width="9.140625" style="27" customWidth="1"/>
  </cols>
  <sheetData>
    <row r="1" spans="1:19" ht="15">
      <c r="A1" s="57" t="s">
        <v>375</v>
      </c>
      <c r="B1" s="57"/>
      <c r="C1" s="57"/>
      <c r="Q1" s="59" t="s">
        <v>385</v>
      </c>
      <c r="R1" s="59"/>
      <c r="S1" s="59"/>
    </row>
    <row r="2" spans="1:19" ht="15">
      <c r="A2" s="59" t="s">
        <v>388</v>
      </c>
      <c r="B2" s="59"/>
      <c r="C2" s="59"/>
      <c r="Q2" s="44"/>
      <c r="R2" s="44"/>
      <c r="S2" s="44"/>
    </row>
    <row r="4" spans="1:18" ht="27" customHeight="1">
      <c r="A4" s="61" t="s">
        <v>362</v>
      </c>
      <c r="B4" s="61"/>
      <c r="C4" s="61"/>
      <c r="D4" s="61"/>
      <c r="E4" s="61"/>
      <c r="F4" s="61"/>
      <c r="G4" s="61"/>
      <c r="H4" s="61"/>
      <c r="I4" s="61"/>
      <c r="J4" s="61"/>
      <c r="K4" s="61"/>
      <c r="L4" s="61"/>
      <c r="M4" s="61"/>
      <c r="N4" s="61"/>
      <c r="O4" s="61"/>
      <c r="P4" s="61"/>
      <c r="Q4" s="61"/>
      <c r="R4" s="61"/>
    </row>
    <row r="5" spans="1:19" ht="24" customHeight="1">
      <c r="A5" s="62" t="s">
        <v>380</v>
      </c>
      <c r="B5" s="62"/>
      <c r="C5" s="62"/>
      <c r="D5" s="62"/>
      <c r="E5" s="62"/>
      <c r="F5" s="62"/>
      <c r="G5" s="62"/>
      <c r="H5" s="62"/>
      <c r="I5" s="62"/>
      <c r="J5" s="62"/>
      <c r="K5" s="62"/>
      <c r="L5" s="62"/>
      <c r="M5" s="62"/>
      <c r="N5" s="62"/>
      <c r="O5" s="62"/>
      <c r="P5" s="62"/>
      <c r="Q5" s="62"/>
      <c r="R5" s="62"/>
      <c r="S5" s="62"/>
    </row>
    <row r="6" spans="1:18" ht="20.25" customHeight="1">
      <c r="A6" s="26"/>
      <c r="B6" s="26"/>
      <c r="C6" s="26"/>
      <c r="D6" s="26"/>
      <c r="E6" s="26"/>
      <c r="F6" s="26"/>
      <c r="G6" s="26"/>
      <c r="H6" s="26"/>
      <c r="I6" s="26"/>
      <c r="J6" s="26"/>
      <c r="K6" s="26"/>
      <c r="L6" s="26"/>
      <c r="M6" s="26"/>
      <c r="N6" s="26"/>
      <c r="O6" s="26"/>
      <c r="P6" s="26"/>
      <c r="Q6" s="26"/>
      <c r="R6" s="26"/>
    </row>
    <row r="7" ht="15">
      <c r="S7" s="28" t="s">
        <v>361</v>
      </c>
    </row>
    <row r="8" spans="1:19" ht="24.75" customHeight="1">
      <c r="A8" s="58" t="s">
        <v>0</v>
      </c>
      <c r="B8" s="58" t="s">
        <v>102</v>
      </c>
      <c r="C8" s="58" t="s">
        <v>139</v>
      </c>
      <c r="D8" s="58" t="s">
        <v>81</v>
      </c>
      <c r="E8" s="58" t="s">
        <v>122</v>
      </c>
      <c r="F8" s="58" t="s">
        <v>123</v>
      </c>
      <c r="G8" s="58" t="s">
        <v>124</v>
      </c>
      <c r="H8" s="58" t="s">
        <v>125</v>
      </c>
      <c r="I8" s="58" t="s">
        <v>126</v>
      </c>
      <c r="J8" s="58" t="s">
        <v>127</v>
      </c>
      <c r="K8" s="58" t="s">
        <v>128</v>
      </c>
      <c r="L8" s="58" t="s">
        <v>129</v>
      </c>
      <c r="M8" s="58" t="s">
        <v>130</v>
      </c>
      <c r="N8" s="58" t="s">
        <v>152</v>
      </c>
      <c r="O8" s="58"/>
      <c r="P8" s="58" t="s">
        <v>135</v>
      </c>
      <c r="Q8" s="58" t="s">
        <v>132</v>
      </c>
      <c r="R8" s="58" t="s">
        <v>136</v>
      </c>
      <c r="S8" s="58" t="s">
        <v>28</v>
      </c>
    </row>
    <row r="9" spans="1:19" ht="110.25" customHeight="1">
      <c r="A9" s="58"/>
      <c r="B9" s="58"/>
      <c r="C9" s="58"/>
      <c r="D9" s="58"/>
      <c r="E9" s="58"/>
      <c r="F9" s="58"/>
      <c r="G9" s="58"/>
      <c r="H9" s="58"/>
      <c r="I9" s="58"/>
      <c r="J9" s="58"/>
      <c r="K9" s="58"/>
      <c r="L9" s="58"/>
      <c r="M9" s="58"/>
      <c r="N9" s="29" t="s">
        <v>153</v>
      </c>
      <c r="O9" s="29" t="s">
        <v>154</v>
      </c>
      <c r="P9" s="58"/>
      <c r="Q9" s="58"/>
      <c r="R9" s="58"/>
      <c r="S9" s="58"/>
    </row>
    <row r="10" spans="1:19" ht="15">
      <c r="A10" s="29" t="s">
        <v>5</v>
      </c>
      <c r="B10" s="29" t="s">
        <v>6</v>
      </c>
      <c r="C10" s="29">
        <v>1</v>
      </c>
      <c r="D10" s="29">
        <v>2</v>
      </c>
      <c r="E10" s="29">
        <v>3</v>
      </c>
      <c r="F10" s="29">
        <v>4</v>
      </c>
      <c r="G10" s="29">
        <v>5</v>
      </c>
      <c r="H10" s="29">
        <v>6</v>
      </c>
      <c r="I10" s="29">
        <v>7</v>
      </c>
      <c r="J10" s="29">
        <v>8</v>
      </c>
      <c r="K10" s="29">
        <v>9</v>
      </c>
      <c r="L10" s="29">
        <v>10</v>
      </c>
      <c r="M10" s="29">
        <v>11</v>
      </c>
      <c r="N10" s="29">
        <v>12</v>
      </c>
      <c r="O10" s="29">
        <v>13</v>
      </c>
      <c r="P10" s="29">
        <v>14</v>
      </c>
      <c r="Q10" s="29">
        <v>15</v>
      </c>
      <c r="R10" s="29">
        <v>16</v>
      </c>
      <c r="S10" s="38">
        <v>17</v>
      </c>
    </row>
    <row r="11" spans="1:19" ht="15">
      <c r="A11" s="29"/>
      <c r="B11" s="30" t="s">
        <v>116</v>
      </c>
      <c r="C11" s="39">
        <f>SUM(C12:C122)-1000000</f>
        <v>977501569490.4128</v>
      </c>
      <c r="D11" s="39">
        <f aca="true" t="shared" si="0" ref="D11:S11">SUM(D12:D122)</f>
        <v>478363369000.41296</v>
      </c>
      <c r="E11" s="39">
        <f t="shared" si="0"/>
        <v>0</v>
      </c>
      <c r="F11" s="39">
        <f t="shared" si="0"/>
        <v>27463162366</v>
      </c>
      <c r="G11" s="39">
        <f t="shared" si="0"/>
        <v>14351424000</v>
      </c>
      <c r="H11" s="39">
        <f t="shared" si="0"/>
        <v>80430000000</v>
      </c>
      <c r="I11" s="39">
        <f t="shared" si="0"/>
        <v>4905000000</v>
      </c>
      <c r="J11" s="39">
        <f t="shared" si="0"/>
        <v>0</v>
      </c>
      <c r="K11" s="39">
        <f t="shared" si="0"/>
        <v>1962000000</v>
      </c>
      <c r="L11" s="39">
        <f t="shared" si="0"/>
        <v>0</v>
      </c>
      <c r="M11" s="39">
        <f>SUM(M12:M122)-1000000</f>
        <v>127553561537</v>
      </c>
      <c r="N11" s="39">
        <f t="shared" si="0"/>
        <v>17774000000</v>
      </c>
      <c r="O11" s="39">
        <f t="shared" si="0"/>
        <v>2093240000</v>
      </c>
      <c r="P11" s="39">
        <f>SUM(P12:P122)+1000000</f>
        <v>150045027826</v>
      </c>
      <c r="Q11" s="39">
        <f t="shared" si="0"/>
        <v>58984496000</v>
      </c>
      <c r="R11" s="39">
        <f t="shared" si="0"/>
        <v>7171932681</v>
      </c>
      <c r="S11" s="39">
        <f t="shared" si="0"/>
        <v>26272596080</v>
      </c>
    </row>
    <row r="12" spans="1:19" ht="30">
      <c r="A12" s="32"/>
      <c r="B12" s="33" t="s">
        <v>351</v>
      </c>
      <c r="C12" s="40">
        <f>D12+E12+F12+G12+H12+I12+J12+K12+L12+M12+P12+Q12+R12+S12</f>
        <v>10982795685</v>
      </c>
      <c r="D12" s="40"/>
      <c r="E12" s="40"/>
      <c r="F12" s="40"/>
      <c r="G12" s="40"/>
      <c r="H12" s="40"/>
      <c r="I12" s="40"/>
      <c r="J12" s="40"/>
      <c r="K12" s="40"/>
      <c r="L12" s="40"/>
      <c r="M12" s="40">
        <f>N12+O12</f>
        <v>0</v>
      </c>
      <c r="N12" s="40"/>
      <c r="O12" s="40"/>
      <c r="P12" s="40">
        <v>10982795685</v>
      </c>
      <c r="Q12" s="40"/>
      <c r="R12" s="40"/>
      <c r="S12" s="41"/>
    </row>
    <row r="13" spans="1:19" ht="15">
      <c r="A13" s="32"/>
      <c r="B13" s="33" t="s">
        <v>247</v>
      </c>
      <c r="C13" s="40">
        <f aca="true" t="shared" si="1" ref="C13:C76">D13+E13+F13+G13+H13+I13+J13+K13+L13+M13+P13+Q13+R13+S13</f>
        <v>9759780844</v>
      </c>
      <c r="D13" s="40"/>
      <c r="E13" s="40"/>
      <c r="F13" s="40"/>
      <c r="G13" s="40"/>
      <c r="H13" s="40"/>
      <c r="I13" s="40"/>
      <c r="J13" s="40"/>
      <c r="K13" s="40"/>
      <c r="L13" s="40"/>
      <c r="M13" s="40">
        <f aca="true" t="shared" si="2" ref="M13:M76">N13+O13</f>
        <v>0</v>
      </c>
      <c r="N13" s="40"/>
      <c r="O13" s="40"/>
      <c r="P13" s="40">
        <v>9759780844</v>
      </c>
      <c r="Q13" s="40"/>
      <c r="R13" s="40"/>
      <c r="S13" s="41"/>
    </row>
    <row r="14" spans="1:19" ht="15">
      <c r="A14" s="32"/>
      <c r="B14" s="33" t="s">
        <v>248</v>
      </c>
      <c r="C14" s="40">
        <f t="shared" si="1"/>
        <v>1321737762</v>
      </c>
      <c r="D14" s="40"/>
      <c r="E14" s="40"/>
      <c r="F14" s="40"/>
      <c r="G14" s="40"/>
      <c r="H14" s="40"/>
      <c r="I14" s="40"/>
      <c r="J14" s="40"/>
      <c r="K14" s="40"/>
      <c r="L14" s="40"/>
      <c r="M14" s="40">
        <f t="shared" si="2"/>
        <v>0</v>
      </c>
      <c r="N14" s="40"/>
      <c r="O14" s="40"/>
      <c r="P14" s="40">
        <v>1321737762</v>
      </c>
      <c r="Q14" s="40"/>
      <c r="R14" s="40"/>
      <c r="S14" s="41"/>
    </row>
    <row r="15" spans="1:19" ht="15">
      <c r="A15" s="42"/>
      <c r="B15" s="33" t="s">
        <v>249</v>
      </c>
      <c r="C15" s="40">
        <f t="shared" si="1"/>
        <v>3475759292</v>
      </c>
      <c r="D15" s="40"/>
      <c r="E15" s="40"/>
      <c r="F15" s="40"/>
      <c r="G15" s="40"/>
      <c r="H15" s="40"/>
      <c r="I15" s="40"/>
      <c r="J15" s="40"/>
      <c r="K15" s="40"/>
      <c r="L15" s="40"/>
      <c r="M15" s="40">
        <f t="shared" si="2"/>
        <v>0</v>
      </c>
      <c r="N15" s="40"/>
      <c r="O15" s="40"/>
      <c r="P15" s="40">
        <v>3475759292</v>
      </c>
      <c r="Q15" s="40"/>
      <c r="R15" s="40"/>
      <c r="S15" s="41"/>
    </row>
    <row r="16" spans="1:19" ht="15">
      <c r="A16" s="42"/>
      <c r="B16" s="33" t="s">
        <v>250</v>
      </c>
      <c r="C16" s="40">
        <f t="shared" si="1"/>
        <v>1230856162</v>
      </c>
      <c r="D16" s="40"/>
      <c r="E16" s="40"/>
      <c r="F16" s="40"/>
      <c r="G16" s="40"/>
      <c r="H16" s="40"/>
      <c r="I16" s="40">
        <v>40000000</v>
      </c>
      <c r="J16" s="40"/>
      <c r="K16" s="40"/>
      <c r="L16" s="40"/>
      <c r="M16" s="40">
        <f t="shared" si="2"/>
        <v>0</v>
      </c>
      <c r="N16" s="40"/>
      <c r="O16" s="40"/>
      <c r="P16" s="40">
        <v>1190856162</v>
      </c>
      <c r="Q16" s="40"/>
      <c r="R16" s="40"/>
      <c r="S16" s="41"/>
    </row>
    <row r="17" spans="1:19" ht="15">
      <c r="A17" s="42"/>
      <c r="B17" s="33" t="s">
        <v>251</v>
      </c>
      <c r="C17" s="40">
        <f t="shared" si="1"/>
        <v>45599631371</v>
      </c>
      <c r="D17" s="40">
        <f>43256290359+493658546-349000000</f>
        <v>43400948905</v>
      </c>
      <c r="E17" s="40"/>
      <c r="F17" s="40"/>
      <c r="G17" s="40"/>
      <c r="H17" s="40"/>
      <c r="I17" s="40"/>
      <c r="J17" s="40"/>
      <c r="K17" s="40"/>
      <c r="L17" s="40"/>
      <c r="M17" s="40">
        <f t="shared" si="2"/>
        <v>0</v>
      </c>
      <c r="N17" s="40"/>
      <c r="O17" s="40"/>
      <c r="P17" s="40">
        <v>2198682466</v>
      </c>
      <c r="Q17" s="40"/>
      <c r="R17" s="40"/>
      <c r="S17" s="41"/>
    </row>
    <row r="18" spans="1:19" ht="15">
      <c r="A18" s="42"/>
      <c r="B18" s="33" t="s">
        <v>252</v>
      </c>
      <c r="C18" s="40">
        <f t="shared" si="1"/>
        <v>7163106076</v>
      </c>
      <c r="D18" s="40">
        <v>800000000</v>
      </c>
      <c r="E18" s="40"/>
      <c r="F18" s="40"/>
      <c r="G18" s="40"/>
      <c r="H18" s="40"/>
      <c r="I18" s="40"/>
      <c r="J18" s="40"/>
      <c r="K18" s="40"/>
      <c r="L18" s="40"/>
      <c r="M18" s="40">
        <f t="shared" si="2"/>
        <v>0</v>
      </c>
      <c r="N18" s="40"/>
      <c r="O18" s="40"/>
      <c r="P18" s="40">
        <v>6363106076</v>
      </c>
      <c r="Q18" s="40"/>
      <c r="R18" s="40"/>
      <c r="S18" s="41"/>
    </row>
    <row r="19" spans="1:19" ht="15">
      <c r="A19" s="42"/>
      <c r="B19" s="33" t="s">
        <v>253</v>
      </c>
      <c r="C19" s="40">
        <f t="shared" si="1"/>
        <v>8798952188</v>
      </c>
      <c r="D19" s="40"/>
      <c r="E19" s="40"/>
      <c r="F19" s="40"/>
      <c r="G19" s="40"/>
      <c r="H19" s="40"/>
      <c r="I19" s="40"/>
      <c r="J19" s="40"/>
      <c r="K19" s="40"/>
      <c r="L19" s="40"/>
      <c r="M19" s="40">
        <f>200000000+5000000000+363000000</f>
        <v>5563000000</v>
      </c>
      <c r="N19" s="40"/>
      <c r="O19" s="40"/>
      <c r="P19" s="40">
        <v>3235952188</v>
      </c>
      <c r="Q19" s="40"/>
      <c r="R19" s="40"/>
      <c r="S19" s="41"/>
    </row>
    <row r="20" spans="1:19" ht="15">
      <c r="A20" s="42"/>
      <c r="B20" s="33" t="s">
        <v>352</v>
      </c>
      <c r="C20" s="40">
        <f t="shared" si="1"/>
        <v>1823450842</v>
      </c>
      <c r="D20" s="40"/>
      <c r="E20" s="40"/>
      <c r="F20" s="40"/>
      <c r="G20" s="40"/>
      <c r="H20" s="40"/>
      <c r="I20" s="40"/>
      <c r="J20" s="40"/>
      <c r="K20" s="40"/>
      <c r="L20" s="40"/>
      <c r="M20" s="40">
        <f t="shared" si="2"/>
        <v>0</v>
      </c>
      <c r="N20" s="40"/>
      <c r="O20" s="40"/>
      <c r="P20" s="40">
        <v>1823450842</v>
      </c>
      <c r="Q20" s="40"/>
      <c r="R20" s="40"/>
      <c r="S20" s="41"/>
    </row>
    <row r="21" spans="1:19" ht="15">
      <c r="A21" s="42"/>
      <c r="B21" s="33" t="s">
        <v>254</v>
      </c>
      <c r="C21" s="40">
        <f t="shared" si="1"/>
        <v>1804120732</v>
      </c>
      <c r="D21" s="40"/>
      <c r="E21" s="40"/>
      <c r="F21" s="40"/>
      <c r="G21" s="40"/>
      <c r="H21" s="40"/>
      <c r="I21" s="40"/>
      <c r="J21" s="40"/>
      <c r="K21" s="40"/>
      <c r="L21" s="40"/>
      <c r="M21" s="40">
        <f t="shared" si="2"/>
        <v>0</v>
      </c>
      <c r="N21" s="40"/>
      <c r="O21" s="40"/>
      <c r="P21" s="40">
        <v>1804120732</v>
      </c>
      <c r="Q21" s="40"/>
      <c r="R21" s="40"/>
      <c r="S21" s="41"/>
    </row>
    <row r="22" spans="1:19" ht="15">
      <c r="A22" s="42"/>
      <c r="B22" s="33" t="s">
        <v>255</v>
      </c>
      <c r="C22" s="40">
        <f t="shared" si="1"/>
        <v>5013937262</v>
      </c>
      <c r="D22" s="40"/>
      <c r="E22" s="40"/>
      <c r="F22" s="40"/>
      <c r="G22" s="40"/>
      <c r="H22" s="40">
        <v>2971000000</v>
      </c>
      <c r="I22" s="40"/>
      <c r="J22" s="40"/>
      <c r="K22" s="40"/>
      <c r="L22" s="40"/>
      <c r="M22" s="40">
        <f t="shared" si="2"/>
        <v>0</v>
      </c>
      <c r="N22" s="40"/>
      <c r="O22" s="40"/>
      <c r="P22" s="40">
        <v>2042937262</v>
      </c>
      <c r="Q22" s="40"/>
      <c r="R22" s="40"/>
      <c r="S22" s="41"/>
    </row>
    <row r="23" spans="1:19" ht="15">
      <c r="A23" s="42"/>
      <c r="B23" s="33" t="s">
        <v>256</v>
      </c>
      <c r="C23" s="40">
        <f t="shared" si="1"/>
        <v>107504655064</v>
      </c>
      <c r="D23" s="40">
        <v>517000000</v>
      </c>
      <c r="E23" s="40"/>
      <c r="F23" s="40"/>
      <c r="G23" s="40"/>
      <c r="H23" s="40">
        <v>46066000000</v>
      </c>
      <c r="I23" s="40"/>
      <c r="J23" s="40"/>
      <c r="K23" s="40"/>
      <c r="L23" s="40"/>
      <c r="M23" s="40">
        <f t="shared" si="2"/>
        <v>0</v>
      </c>
      <c r="N23" s="40"/>
      <c r="O23" s="40"/>
      <c r="P23" s="40">
        <v>2338655064</v>
      </c>
      <c r="Q23" s="40">
        <v>58583000000</v>
      </c>
      <c r="R23" s="40"/>
      <c r="S23" s="41"/>
    </row>
    <row r="24" spans="1:19" ht="15">
      <c r="A24" s="42"/>
      <c r="B24" s="33" t="s">
        <v>257</v>
      </c>
      <c r="C24" s="40">
        <f t="shared" si="1"/>
        <v>2125616922</v>
      </c>
      <c r="D24" s="40"/>
      <c r="E24" s="40"/>
      <c r="F24" s="40"/>
      <c r="G24" s="40"/>
      <c r="H24" s="40"/>
      <c r="I24" s="40"/>
      <c r="J24" s="40"/>
      <c r="K24" s="40"/>
      <c r="L24" s="40"/>
      <c r="M24" s="40">
        <f t="shared" si="2"/>
        <v>0</v>
      </c>
      <c r="N24" s="40"/>
      <c r="O24" s="40"/>
      <c r="P24" s="40">
        <v>2125616922</v>
      </c>
      <c r="Q24" s="40"/>
      <c r="R24" s="40"/>
      <c r="S24" s="41"/>
    </row>
    <row r="25" spans="1:19" ht="15">
      <c r="A25" s="42"/>
      <c r="B25" s="33" t="s">
        <v>258</v>
      </c>
      <c r="C25" s="40">
        <f t="shared" si="1"/>
        <v>1576033769</v>
      </c>
      <c r="D25" s="40"/>
      <c r="E25" s="40"/>
      <c r="F25" s="40"/>
      <c r="G25" s="40"/>
      <c r="H25" s="40"/>
      <c r="I25" s="40"/>
      <c r="J25" s="40"/>
      <c r="K25" s="40"/>
      <c r="L25" s="40"/>
      <c r="M25" s="40">
        <f t="shared" si="2"/>
        <v>0</v>
      </c>
      <c r="N25" s="40"/>
      <c r="O25" s="40"/>
      <c r="P25" s="40">
        <v>1576033769</v>
      </c>
      <c r="Q25" s="40"/>
      <c r="R25" s="40"/>
      <c r="S25" s="41"/>
    </row>
    <row r="26" spans="1:19" ht="15">
      <c r="A26" s="42"/>
      <c r="B26" s="33" t="s">
        <v>259</v>
      </c>
      <c r="C26" s="40">
        <f t="shared" si="1"/>
        <v>850559240</v>
      </c>
      <c r="D26" s="40"/>
      <c r="E26" s="40"/>
      <c r="F26" s="40"/>
      <c r="G26" s="40"/>
      <c r="H26" s="40"/>
      <c r="I26" s="40"/>
      <c r="J26" s="40"/>
      <c r="K26" s="40"/>
      <c r="L26" s="40"/>
      <c r="M26" s="40">
        <f t="shared" si="2"/>
        <v>0</v>
      </c>
      <c r="N26" s="40"/>
      <c r="O26" s="40"/>
      <c r="P26" s="40">
        <v>850559240</v>
      </c>
      <c r="Q26" s="40"/>
      <c r="R26" s="40"/>
      <c r="S26" s="41"/>
    </row>
    <row r="27" spans="1:19" ht="15">
      <c r="A27" s="42"/>
      <c r="B27" s="33" t="s">
        <v>260</v>
      </c>
      <c r="C27" s="40">
        <f t="shared" si="1"/>
        <v>689500000</v>
      </c>
      <c r="D27" s="40"/>
      <c r="E27" s="40"/>
      <c r="F27" s="40"/>
      <c r="G27" s="40"/>
      <c r="H27" s="40"/>
      <c r="I27" s="40"/>
      <c r="J27" s="40"/>
      <c r="K27" s="40"/>
      <c r="L27" s="40"/>
      <c r="M27" s="40">
        <f t="shared" si="2"/>
        <v>0</v>
      </c>
      <c r="N27" s="40"/>
      <c r="O27" s="40"/>
      <c r="P27" s="40">
        <v>689500000</v>
      </c>
      <c r="Q27" s="40"/>
      <c r="R27" s="40"/>
      <c r="S27" s="41"/>
    </row>
    <row r="28" spans="1:19" ht="15">
      <c r="A28" s="42"/>
      <c r="B28" s="33" t="s">
        <v>261</v>
      </c>
      <c r="C28" s="40">
        <f t="shared" si="1"/>
        <v>942432470</v>
      </c>
      <c r="D28" s="40"/>
      <c r="E28" s="40"/>
      <c r="F28" s="40"/>
      <c r="G28" s="40"/>
      <c r="H28" s="40"/>
      <c r="I28" s="40"/>
      <c r="J28" s="40"/>
      <c r="K28" s="40"/>
      <c r="L28" s="40"/>
      <c r="M28" s="40">
        <f t="shared" si="2"/>
        <v>0</v>
      </c>
      <c r="N28" s="40"/>
      <c r="O28" s="40"/>
      <c r="P28" s="40">
        <v>942432470</v>
      </c>
      <c r="Q28" s="40"/>
      <c r="R28" s="40"/>
      <c r="S28" s="41"/>
    </row>
    <row r="29" spans="1:19" ht="15">
      <c r="A29" s="42"/>
      <c r="B29" s="33" t="s">
        <v>262</v>
      </c>
      <c r="C29" s="40">
        <f t="shared" si="1"/>
        <v>4227479620</v>
      </c>
      <c r="D29" s="40"/>
      <c r="E29" s="40"/>
      <c r="F29" s="40"/>
      <c r="G29" s="40"/>
      <c r="H29" s="40"/>
      <c r="I29" s="40"/>
      <c r="J29" s="40"/>
      <c r="K29" s="40"/>
      <c r="L29" s="40"/>
      <c r="M29" s="40">
        <f t="shared" si="2"/>
        <v>0</v>
      </c>
      <c r="N29" s="40"/>
      <c r="O29" s="40"/>
      <c r="P29" s="40">
        <v>4227479620</v>
      </c>
      <c r="Q29" s="40"/>
      <c r="R29" s="40"/>
      <c r="S29" s="41"/>
    </row>
    <row r="30" spans="1:19" ht="30">
      <c r="A30" s="42"/>
      <c r="B30" s="33" t="s">
        <v>263</v>
      </c>
      <c r="C30" s="40">
        <f t="shared" si="1"/>
        <v>142334000</v>
      </c>
      <c r="D30" s="40"/>
      <c r="E30" s="40"/>
      <c r="F30" s="40"/>
      <c r="G30" s="40"/>
      <c r="H30" s="40"/>
      <c r="I30" s="40"/>
      <c r="J30" s="40"/>
      <c r="K30" s="40"/>
      <c r="L30" s="40"/>
      <c r="M30" s="40">
        <f t="shared" si="2"/>
        <v>0</v>
      </c>
      <c r="N30" s="40"/>
      <c r="O30" s="40"/>
      <c r="P30" s="40">
        <v>142334000</v>
      </c>
      <c r="Q30" s="40"/>
      <c r="R30" s="40"/>
      <c r="S30" s="41"/>
    </row>
    <row r="31" spans="1:19" ht="15">
      <c r="A31" s="42"/>
      <c r="B31" s="33" t="s">
        <v>264</v>
      </c>
      <c r="C31" s="40">
        <f t="shared" si="1"/>
        <v>98000000</v>
      </c>
      <c r="D31" s="40"/>
      <c r="E31" s="40"/>
      <c r="F31" s="40"/>
      <c r="G31" s="40"/>
      <c r="H31" s="40"/>
      <c r="I31" s="40"/>
      <c r="J31" s="40"/>
      <c r="K31" s="40"/>
      <c r="L31" s="40"/>
      <c r="M31" s="40">
        <f t="shared" si="2"/>
        <v>0</v>
      </c>
      <c r="N31" s="40"/>
      <c r="O31" s="40"/>
      <c r="P31" s="40">
        <v>98000000</v>
      </c>
      <c r="Q31" s="40"/>
      <c r="R31" s="40"/>
      <c r="S31" s="41"/>
    </row>
    <row r="32" spans="1:19" ht="15">
      <c r="A32" s="42"/>
      <c r="B32" s="33" t="s">
        <v>265</v>
      </c>
      <c r="C32" s="40">
        <f t="shared" si="1"/>
        <v>205948000</v>
      </c>
      <c r="D32" s="40"/>
      <c r="E32" s="40"/>
      <c r="F32" s="40"/>
      <c r="G32" s="40"/>
      <c r="H32" s="40"/>
      <c r="I32" s="40"/>
      <c r="J32" s="40"/>
      <c r="K32" s="40"/>
      <c r="L32" s="40"/>
      <c r="M32" s="40">
        <f t="shared" si="2"/>
        <v>0</v>
      </c>
      <c r="N32" s="40"/>
      <c r="O32" s="40"/>
      <c r="P32" s="40">
        <v>205948000</v>
      </c>
      <c r="Q32" s="40"/>
      <c r="R32" s="40"/>
      <c r="S32" s="41"/>
    </row>
    <row r="33" spans="1:19" ht="15">
      <c r="A33" s="42"/>
      <c r="B33" s="33" t="s">
        <v>266</v>
      </c>
      <c r="C33" s="40">
        <f t="shared" si="1"/>
        <v>230000000</v>
      </c>
      <c r="D33" s="40"/>
      <c r="E33" s="40"/>
      <c r="F33" s="40"/>
      <c r="G33" s="40"/>
      <c r="H33" s="40"/>
      <c r="I33" s="40"/>
      <c r="J33" s="40"/>
      <c r="K33" s="40"/>
      <c r="L33" s="40"/>
      <c r="M33" s="40">
        <f t="shared" si="2"/>
        <v>0</v>
      </c>
      <c r="N33" s="40"/>
      <c r="O33" s="40"/>
      <c r="P33" s="40">
        <v>230000000</v>
      </c>
      <c r="Q33" s="40"/>
      <c r="R33" s="40"/>
      <c r="S33" s="41"/>
    </row>
    <row r="34" spans="1:19" ht="15">
      <c r="A34" s="42"/>
      <c r="B34" s="33" t="s">
        <v>267</v>
      </c>
      <c r="C34" s="40">
        <f t="shared" si="1"/>
        <v>60000000</v>
      </c>
      <c r="D34" s="40"/>
      <c r="E34" s="40"/>
      <c r="F34" s="40"/>
      <c r="G34" s="40"/>
      <c r="H34" s="40"/>
      <c r="I34" s="40"/>
      <c r="J34" s="40"/>
      <c r="K34" s="40"/>
      <c r="L34" s="40"/>
      <c r="M34" s="40">
        <f t="shared" si="2"/>
        <v>0</v>
      </c>
      <c r="N34" s="40"/>
      <c r="O34" s="40"/>
      <c r="P34" s="40">
        <v>60000000</v>
      </c>
      <c r="Q34" s="40"/>
      <c r="R34" s="40"/>
      <c r="S34" s="41"/>
    </row>
    <row r="35" spans="1:19" ht="15">
      <c r="A35" s="42"/>
      <c r="B35" s="33" t="s">
        <v>268</v>
      </c>
      <c r="C35" s="40">
        <f t="shared" si="1"/>
        <v>213904000</v>
      </c>
      <c r="D35" s="40"/>
      <c r="E35" s="40"/>
      <c r="F35" s="40"/>
      <c r="G35" s="40"/>
      <c r="H35" s="40"/>
      <c r="I35" s="40"/>
      <c r="J35" s="40"/>
      <c r="K35" s="40"/>
      <c r="L35" s="40"/>
      <c r="M35" s="40">
        <f t="shared" si="2"/>
        <v>0</v>
      </c>
      <c r="N35" s="40"/>
      <c r="O35" s="40"/>
      <c r="P35" s="40">
        <v>213904000</v>
      </c>
      <c r="Q35" s="40"/>
      <c r="R35" s="40"/>
      <c r="S35" s="41"/>
    </row>
    <row r="36" spans="1:19" ht="15">
      <c r="A36" s="42"/>
      <c r="B36" s="33" t="s">
        <v>269</v>
      </c>
      <c r="C36" s="40">
        <f t="shared" si="1"/>
        <v>4209164336.8</v>
      </c>
      <c r="D36" s="40">
        <v>4209164336.8</v>
      </c>
      <c r="E36" s="40"/>
      <c r="F36" s="40"/>
      <c r="G36" s="40"/>
      <c r="H36" s="40"/>
      <c r="I36" s="40"/>
      <c r="J36" s="40"/>
      <c r="K36" s="40"/>
      <c r="L36" s="40"/>
      <c r="M36" s="40">
        <f t="shared" si="2"/>
        <v>0</v>
      </c>
      <c r="N36" s="40"/>
      <c r="O36" s="40"/>
      <c r="P36" s="40"/>
      <c r="Q36" s="40"/>
      <c r="R36" s="40"/>
      <c r="S36" s="41"/>
    </row>
    <row r="37" spans="1:19" ht="15">
      <c r="A37" s="42"/>
      <c r="B37" s="33" t="s">
        <v>270</v>
      </c>
      <c r="C37" s="40">
        <f t="shared" si="1"/>
        <v>6801375462.3</v>
      </c>
      <c r="D37" s="40">
        <v>6801375462.3</v>
      </c>
      <c r="E37" s="40"/>
      <c r="F37" s="40"/>
      <c r="G37" s="40"/>
      <c r="H37" s="40"/>
      <c r="I37" s="40"/>
      <c r="J37" s="40"/>
      <c r="K37" s="40"/>
      <c r="L37" s="40"/>
      <c r="M37" s="40">
        <f t="shared" si="2"/>
        <v>0</v>
      </c>
      <c r="N37" s="40"/>
      <c r="O37" s="40"/>
      <c r="P37" s="40"/>
      <c r="Q37" s="40"/>
      <c r="R37" s="40"/>
      <c r="S37" s="41"/>
    </row>
    <row r="38" spans="1:19" ht="15">
      <c r="A38" s="42"/>
      <c r="B38" s="33" t="s">
        <v>271</v>
      </c>
      <c r="C38" s="40">
        <f t="shared" si="1"/>
        <v>4743322464</v>
      </c>
      <c r="D38" s="40">
        <v>4743322464</v>
      </c>
      <c r="E38" s="40"/>
      <c r="F38" s="40"/>
      <c r="G38" s="40"/>
      <c r="H38" s="40"/>
      <c r="I38" s="40"/>
      <c r="J38" s="40"/>
      <c r="K38" s="40"/>
      <c r="L38" s="40"/>
      <c r="M38" s="40">
        <f t="shared" si="2"/>
        <v>0</v>
      </c>
      <c r="N38" s="40"/>
      <c r="O38" s="40"/>
      <c r="P38" s="40"/>
      <c r="Q38" s="40"/>
      <c r="R38" s="40"/>
      <c r="S38" s="41"/>
    </row>
    <row r="39" spans="1:19" ht="15">
      <c r="A39" s="42"/>
      <c r="B39" s="33" t="s">
        <v>272</v>
      </c>
      <c r="C39" s="40">
        <f t="shared" si="1"/>
        <v>6306238152</v>
      </c>
      <c r="D39" s="40">
        <v>6306238152</v>
      </c>
      <c r="E39" s="40"/>
      <c r="F39" s="40"/>
      <c r="G39" s="40"/>
      <c r="H39" s="40"/>
      <c r="I39" s="40"/>
      <c r="J39" s="40"/>
      <c r="K39" s="40"/>
      <c r="L39" s="40"/>
      <c r="M39" s="40">
        <f t="shared" si="2"/>
        <v>0</v>
      </c>
      <c r="N39" s="40"/>
      <c r="O39" s="40"/>
      <c r="P39" s="40"/>
      <c r="Q39" s="40"/>
      <c r="R39" s="40"/>
      <c r="S39" s="41"/>
    </row>
    <row r="40" spans="1:19" ht="15">
      <c r="A40" s="42"/>
      <c r="B40" s="33" t="s">
        <v>273</v>
      </c>
      <c r="C40" s="40">
        <f t="shared" si="1"/>
        <v>5585071086</v>
      </c>
      <c r="D40" s="40">
        <v>5585071086</v>
      </c>
      <c r="E40" s="40"/>
      <c r="F40" s="40"/>
      <c r="G40" s="40"/>
      <c r="H40" s="40"/>
      <c r="I40" s="40"/>
      <c r="J40" s="40"/>
      <c r="K40" s="40"/>
      <c r="L40" s="40"/>
      <c r="M40" s="40">
        <f t="shared" si="2"/>
        <v>0</v>
      </c>
      <c r="N40" s="40"/>
      <c r="O40" s="40"/>
      <c r="P40" s="40"/>
      <c r="Q40" s="40"/>
      <c r="R40" s="40"/>
      <c r="S40" s="41"/>
    </row>
    <row r="41" spans="1:19" ht="15">
      <c r="A41" s="42"/>
      <c r="B41" s="33" t="s">
        <v>274</v>
      </c>
      <c r="C41" s="40">
        <f t="shared" si="1"/>
        <v>3234056071.4</v>
      </c>
      <c r="D41" s="40">
        <v>3234056071.4</v>
      </c>
      <c r="E41" s="40"/>
      <c r="F41" s="40"/>
      <c r="G41" s="40"/>
      <c r="H41" s="40"/>
      <c r="I41" s="40"/>
      <c r="J41" s="40"/>
      <c r="K41" s="40"/>
      <c r="L41" s="40"/>
      <c r="M41" s="40">
        <f t="shared" si="2"/>
        <v>0</v>
      </c>
      <c r="N41" s="40"/>
      <c r="O41" s="40"/>
      <c r="P41" s="40"/>
      <c r="Q41" s="40"/>
      <c r="R41" s="40"/>
      <c r="S41" s="41"/>
    </row>
    <row r="42" spans="1:19" ht="15">
      <c r="A42" s="42"/>
      <c r="B42" s="33" t="s">
        <v>275</v>
      </c>
      <c r="C42" s="40">
        <f t="shared" si="1"/>
        <v>2533707582</v>
      </c>
      <c r="D42" s="40">
        <v>2533707582</v>
      </c>
      <c r="E42" s="40"/>
      <c r="F42" s="40"/>
      <c r="G42" s="40"/>
      <c r="H42" s="40"/>
      <c r="I42" s="40"/>
      <c r="J42" s="40"/>
      <c r="K42" s="40"/>
      <c r="L42" s="40"/>
      <c r="M42" s="40">
        <f t="shared" si="2"/>
        <v>0</v>
      </c>
      <c r="N42" s="40"/>
      <c r="O42" s="40"/>
      <c r="P42" s="40"/>
      <c r="Q42" s="40"/>
      <c r="R42" s="40"/>
      <c r="S42" s="41"/>
    </row>
    <row r="43" spans="1:19" ht="15">
      <c r="A43" s="42"/>
      <c r="B43" s="33" t="s">
        <v>276</v>
      </c>
      <c r="C43" s="40">
        <f t="shared" si="1"/>
        <v>2732470455.5</v>
      </c>
      <c r="D43" s="40">
        <v>2732470455.5</v>
      </c>
      <c r="E43" s="40"/>
      <c r="F43" s="40"/>
      <c r="G43" s="40"/>
      <c r="H43" s="40"/>
      <c r="I43" s="40"/>
      <c r="J43" s="40"/>
      <c r="K43" s="40"/>
      <c r="L43" s="40"/>
      <c r="M43" s="40">
        <f t="shared" si="2"/>
        <v>0</v>
      </c>
      <c r="N43" s="40"/>
      <c r="O43" s="40"/>
      <c r="P43" s="40"/>
      <c r="Q43" s="40"/>
      <c r="R43" s="40"/>
      <c r="S43" s="41"/>
    </row>
    <row r="44" spans="1:19" ht="15">
      <c r="A44" s="42"/>
      <c r="B44" s="33" t="s">
        <v>277</v>
      </c>
      <c r="C44" s="40">
        <f t="shared" si="1"/>
        <v>8502645814.5</v>
      </c>
      <c r="D44" s="40">
        <v>8502645814.5</v>
      </c>
      <c r="E44" s="40"/>
      <c r="F44" s="40"/>
      <c r="G44" s="40"/>
      <c r="H44" s="40"/>
      <c r="I44" s="40"/>
      <c r="J44" s="40"/>
      <c r="K44" s="40"/>
      <c r="L44" s="40"/>
      <c r="M44" s="40">
        <f t="shared" si="2"/>
        <v>0</v>
      </c>
      <c r="N44" s="40"/>
      <c r="O44" s="40"/>
      <c r="P44" s="40"/>
      <c r="Q44" s="40"/>
      <c r="R44" s="40"/>
      <c r="S44" s="41"/>
    </row>
    <row r="45" spans="1:19" ht="15">
      <c r="A45" s="42"/>
      <c r="B45" s="33" t="s">
        <v>278</v>
      </c>
      <c r="C45" s="40">
        <f t="shared" si="1"/>
        <v>3138761112.5</v>
      </c>
      <c r="D45" s="40">
        <v>3138761112.5</v>
      </c>
      <c r="E45" s="40"/>
      <c r="F45" s="40"/>
      <c r="G45" s="40"/>
      <c r="H45" s="40"/>
      <c r="I45" s="40"/>
      <c r="J45" s="40"/>
      <c r="K45" s="40"/>
      <c r="L45" s="40"/>
      <c r="M45" s="40">
        <f t="shared" si="2"/>
        <v>0</v>
      </c>
      <c r="N45" s="40"/>
      <c r="O45" s="40"/>
      <c r="P45" s="40"/>
      <c r="Q45" s="40"/>
      <c r="R45" s="40"/>
      <c r="S45" s="41"/>
    </row>
    <row r="46" spans="1:19" ht="15">
      <c r="A46" s="42"/>
      <c r="B46" s="33" t="s">
        <v>279</v>
      </c>
      <c r="C46" s="40">
        <f t="shared" si="1"/>
        <v>6825060662</v>
      </c>
      <c r="D46" s="40">
        <v>6825060662</v>
      </c>
      <c r="E46" s="40"/>
      <c r="F46" s="40"/>
      <c r="G46" s="40"/>
      <c r="H46" s="40"/>
      <c r="I46" s="40"/>
      <c r="J46" s="40"/>
      <c r="K46" s="40"/>
      <c r="L46" s="40"/>
      <c r="M46" s="40">
        <f t="shared" si="2"/>
        <v>0</v>
      </c>
      <c r="N46" s="40"/>
      <c r="O46" s="40"/>
      <c r="P46" s="40"/>
      <c r="Q46" s="40"/>
      <c r="R46" s="40"/>
      <c r="S46" s="41"/>
    </row>
    <row r="47" spans="1:19" ht="15">
      <c r="A47" s="42"/>
      <c r="B47" s="33" t="s">
        <v>280</v>
      </c>
      <c r="C47" s="40">
        <f t="shared" si="1"/>
        <v>6147274503.7</v>
      </c>
      <c r="D47" s="40">
        <v>6147274503.7</v>
      </c>
      <c r="E47" s="40"/>
      <c r="F47" s="40"/>
      <c r="G47" s="40"/>
      <c r="H47" s="40"/>
      <c r="I47" s="40"/>
      <c r="J47" s="40"/>
      <c r="K47" s="40"/>
      <c r="L47" s="40"/>
      <c r="M47" s="40">
        <f t="shared" si="2"/>
        <v>0</v>
      </c>
      <c r="N47" s="40"/>
      <c r="O47" s="40"/>
      <c r="P47" s="40"/>
      <c r="Q47" s="40"/>
      <c r="R47" s="40"/>
      <c r="S47" s="41"/>
    </row>
    <row r="48" spans="1:19" ht="15">
      <c r="A48" s="42"/>
      <c r="B48" s="33" t="s">
        <v>281</v>
      </c>
      <c r="C48" s="40">
        <f t="shared" si="1"/>
        <v>4023091123.2799997</v>
      </c>
      <c r="D48" s="40">
        <v>4023091123.2799997</v>
      </c>
      <c r="E48" s="40"/>
      <c r="F48" s="40"/>
      <c r="G48" s="40"/>
      <c r="H48" s="40"/>
      <c r="I48" s="40"/>
      <c r="J48" s="40"/>
      <c r="K48" s="40"/>
      <c r="L48" s="40"/>
      <c r="M48" s="40">
        <f t="shared" si="2"/>
        <v>0</v>
      </c>
      <c r="N48" s="40"/>
      <c r="O48" s="40"/>
      <c r="P48" s="40"/>
      <c r="Q48" s="40"/>
      <c r="R48" s="40"/>
      <c r="S48" s="41"/>
    </row>
    <row r="49" spans="1:19" ht="15">
      <c r="A49" s="42"/>
      <c r="B49" s="33" t="s">
        <v>282</v>
      </c>
      <c r="C49" s="40">
        <f t="shared" si="1"/>
        <v>4683259764.98</v>
      </c>
      <c r="D49" s="40">
        <v>4683259764.98</v>
      </c>
      <c r="E49" s="40"/>
      <c r="F49" s="40"/>
      <c r="G49" s="40"/>
      <c r="H49" s="40"/>
      <c r="I49" s="40"/>
      <c r="J49" s="40"/>
      <c r="K49" s="40"/>
      <c r="L49" s="40"/>
      <c r="M49" s="40">
        <f t="shared" si="2"/>
        <v>0</v>
      </c>
      <c r="N49" s="40"/>
      <c r="O49" s="40"/>
      <c r="P49" s="40"/>
      <c r="Q49" s="40"/>
      <c r="R49" s="40"/>
      <c r="S49" s="41"/>
    </row>
    <row r="50" spans="1:19" ht="15">
      <c r="A50" s="42"/>
      <c r="B50" s="33" t="s">
        <v>283</v>
      </c>
      <c r="C50" s="40">
        <f t="shared" si="1"/>
        <v>6447995931.5</v>
      </c>
      <c r="D50" s="40">
        <v>6447995931.5</v>
      </c>
      <c r="E50" s="40"/>
      <c r="F50" s="40"/>
      <c r="G50" s="40"/>
      <c r="H50" s="40"/>
      <c r="I50" s="40"/>
      <c r="J50" s="40"/>
      <c r="K50" s="40"/>
      <c r="L50" s="40"/>
      <c r="M50" s="40">
        <f t="shared" si="2"/>
        <v>0</v>
      </c>
      <c r="N50" s="40"/>
      <c r="O50" s="40"/>
      <c r="P50" s="40"/>
      <c r="Q50" s="40"/>
      <c r="R50" s="40"/>
      <c r="S50" s="41"/>
    </row>
    <row r="51" spans="1:19" ht="15">
      <c r="A51" s="42"/>
      <c r="B51" s="33" t="s">
        <v>284</v>
      </c>
      <c r="C51" s="40">
        <f t="shared" si="1"/>
        <v>4339095148.2</v>
      </c>
      <c r="D51" s="40">
        <v>4339095148.2</v>
      </c>
      <c r="E51" s="40"/>
      <c r="F51" s="40"/>
      <c r="G51" s="40"/>
      <c r="H51" s="40"/>
      <c r="I51" s="40"/>
      <c r="J51" s="40"/>
      <c r="K51" s="40"/>
      <c r="L51" s="40"/>
      <c r="M51" s="40">
        <f t="shared" si="2"/>
        <v>0</v>
      </c>
      <c r="N51" s="40"/>
      <c r="O51" s="40"/>
      <c r="P51" s="40"/>
      <c r="Q51" s="40"/>
      <c r="R51" s="40"/>
      <c r="S51" s="41"/>
    </row>
    <row r="52" spans="1:19" ht="15">
      <c r="A52" s="42"/>
      <c r="B52" s="33" t="s">
        <v>285</v>
      </c>
      <c r="C52" s="40">
        <f t="shared" si="1"/>
        <v>3288590291.2</v>
      </c>
      <c r="D52" s="40">
        <v>3288590291.2</v>
      </c>
      <c r="E52" s="40"/>
      <c r="F52" s="40"/>
      <c r="G52" s="40"/>
      <c r="H52" s="40"/>
      <c r="I52" s="40"/>
      <c r="J52" s="40"/>
      <c r="K52" s="40"/>
      <c r="L52" s="40"/>
      <c r="M52" s="40">
        <f t="shared" si="2"/>
        <v>0</v>
      </c>
      <c r="N52" s="40"/>
      <c r="O52" s="40"/>
      <c r="P52" s="40"/>
      <c r="Q52" s="40"/>
      <c r="R52" s="40"/>
      <c r="S52" s="41"/>
    </row>
    <row r="53" spans="1:19" ht="15">
      <c r="A53" s="42"/>
      <c r="B53" s="33" t="s">
        <v>354</v>
      </c>
      <c r="C53" s="40">
        <f t="shared" si="1"/>
        <v>3575669164.8</v>
      </c>
      <c r="D53" s="40">
        <v>3575669164.8</v>
      </c>
      <c r="E53" s="40"/>
      <c r="F53" s="40"/>
      <c r="G53" s="40"/>
      <c r="H53" s="40"/>
      <c r="I53" s="40"/>
      <c r="J53" s="40"/>
      <c r="K53" s="40"/>
      <c r="L53" s="40"/>
      <c r="M53" s="40">
        <f t="shared" si="2"/>
        <v>0</v>
      </c>
      <c r="N53" s="40"/>
      <c r="O53" s="40"/>
      <c r="P53" s="40"/>
      <c r="Q53" s="40"/>
      <c r="R53" s="40"/>
      <c r="S53" s="41"/>
    </row>
    <row r="54" spans="1:19" ht="15">
      <c r="A54" s="42"/>
      <c r="B54" s="33" t="s">
        <v>355</v>
      </c>
      <c r="C54" s="40">
        <f t="shared" si="1"/>
        <v>3339750984</v>
      </c>
      <c r="D54" s="40">
        <v>3339750984</v>
      </c>
      <c r="E54" s="40"/>
      <c r="F54" s="40"/>
      <c r="G54" s="40"/>
      <c r="H54" s="40"/>
      <c r="I54" s="40"/>
      <c r="J54" s="40"/>
      <c r="K54" s="40"/>
      <c r="L54" s="40"/>
      <c r="M54" s="40">
        <f t="shared" si="2"/>
        <v>0</v>
      </c>
      <c r="N54" s="40"/>
      <c r="O54" s="40"/>
      <c r="P54" s="40"/>
      <c r="Q54" s="40"/>
      <c r="R54" s="40"/>
      <c r="S54" s="41"/>
    </row>
    <row r="55" spans="1:19" ht="30">
      <c r="A55" s="42"/>
      <c r="B55" s="33" t="s">
        <v>286</v>
      </c>
      <c r="C55" s="40">
        <f t="shared" si="1"/>
        <v>8803383606.4</v>
      </c>
      <c r="D55" s="40">
        <v>8803383606.4</v>
      </c>
      <c r="E55" s="40"/>
      <c r="F55" s="40"/>
      <c r="G55" s="40"/>
      <c r="H55" s="40"/>
      <c r="I55" s="40"/>
      <c r="J55" s="40"/>
      <c r="K55" s="40"/>
      <c r="L55" s="40"/>
      <c r="M55" s="40">
        <f t="shared" si="2"/>
        <v>0</v>
      </c>
      <c r="N55" s="40"/>
      <c r="O55" s="40"/>
      <c r="P55" s="40"/>
      <c r="Q55" s="40"/>
      <c r="R55" s="40"/>
      <c r="S55" s="41"/>
    </row>
    <row r="56" spans="1:19" ht="15">
      <c r="A56" s="42"/>
      <c r="B56" s="33" t="s">
        <v>287</v>
      </c>
      <c r="C56" s="40">
        <f t="shared" si="1"/>
        <v>7601196963.748</v>
      </c>
      <c r="D56" s="40">
        <v>7601196963.748</v>
      </c>
      <c r="E56" s="40"/>
      <c r="F56" s="40"/>
      <c r="G56" s="40"/>
      <c r="H56" s="40"/>
      <c r="I56" s="40"/>
      <c r="J56" s="40"/>
      <c r="K56" s="40"/>
      <c r="L56" s="40"/>
      <c r="M56" s="40">
        <f t="shared" si="2"/>
        <v>0</v>
      </c>
      <c r="N56" s="40"/>
      <c r="O56" s="40"/>
      <c r="P56" s="40"/>
      <c r="Q56" s="40"/>
      <c r="R56" s="40"/>
      <c r="S56" s="41"/>
    </row>
    <row r="57" spans="1:19" ht="15">
      <c r="A57" s="42"/>
      <c r="B57" s="33" t="s">
        <v>288</v>
      </c>
      <c r="C57" s="40">
        <f t="shared" si="1"/>
        <v>7877530368.94</v>
      </c>
      <c r="D57" s="40">
        <v>7877530368.94</v>
      </c>
      <c r="E57" s="40"/>
      <c r="F57" s="40"/>
      <c r="G57" s="40"/>
      <c r="H57" s="40"/>
      <c r="I57" s="40"/>
      <c r="J57" s="40"/>
      <c r="K57" s="40"/>
      <c r="L57" s="40"/>
      <c r="M57" s="40">
        <f t="shared" si="2"/>
        <v>0</v>
      </c>
      <c r="N57" s="40"/>
      <c r="O57" s="40"/>
      <c r="P57" s="40"/>
      <c r="Q57" s="40"/>
      <c r="R57" s="40"/>
      <c r="S57" s="41"/>
    </row>
    <row r="58" spans="1:19" ht="15">
      <c r="A58" s="42"/>
      <c r="B58" s="33" t="s">
        <v>289</v>
      </c>
      <c r="C58" s="40">
        <f t="shared" si="1"/>
        <v>7484208362</v>
      </c>
      <c r="D58" s="40">
        <v>7484208362</v>
      </c>
      <c r="E58" s="40"/>
      <c r="F58" s="40"/>
      <c r="G58" s="40"/>
      <c r="H58" s="40"/>
      <c r="I58" s="40"/>
      <c r="J58" s="40"/>
      <c r="K58" s="40"/>
      <c r="L58" s="40"/>
      <c r="M58" s="40">
        <f t="shared" si="2"/>
        <v>0</v>
      </c>
      <c r="N58" s="40"/>
      <c r="O58" s="40"/>
      <c r="P58" s="40"/>
      <c r="Q58" s="40"/>
      <c r="R58" s="40"/>
      <c r="S58" s="41"/>
    </row>
    <row r="59" spans="1:19" ht="15">
      <c r="A59" s="42"/>
      <c r="B59" s="33" t="s">
        <v>290</v>
      </c>
      <c r="C59" s="40">
        <f t="shared" si="1"/>
        <v>7237760965</v>
      </c>
      <c r="D59" s="40">
        <v>7237760965</v>
      </c>
      <c r="E59" s="40"/>
      <c r="F59" s="40"/>
      <c r="G59" s="40"/>
      <c r="H59" s="40"/>
      <c r="I59" s="40"/>
      <c r="J59" s="40"/>
      <c r="K59" s="40"/>
      <c r="L59" s="40"/>
      <c r="M59" s="40">
        <f t="shared" si="2"/>
        <v>0</v>
      </c>
      <c r="N59" s="40"/>
      <c r="O59" s="40"/>
      <c r="P59" s="40"/>
      <c r="Q59" s="40"/>
      <c r="R59" s="40"/>
      <c r="S59" s="41"/>
    </row>
    <row r="60" spans="1:19" ht="15">
      <c r="A60" s="42"/>
      <c r="B60" s="33" t="s">
        <v>291</v>
      </c>
      <c r="C60" s="40">
        <f t="shared" si="1"/>
        <v>7180124717.440001</v>
      </c>
      <c r="D60" s="40">
        <v>7180124717.440001</v>
      </c>
      <c r="E60" s="40"/>
      <c r="F60" s="40"/>
      <c r="G60" s="40"/>
      <c r="H60" s="40"/>
      <c r="I60" s="40"/>
      <c r="J60" s="40"/>
      <c r="K60" s="40"/>
      <c r="L60" s="40"/>
      <c r="M60" s="40">
        <f t="shared" si="2"/>
        <v>0</v>
      </c>
      <c r="N60" s="40"/>
      <c r="O60" s="40"/>
      <c r="P60" s="40"/>
      <c r="Q60" s="40"/>
      <c r="R60" s="40"/>
      <c r="S60" s="41"/>
    </row>
    <row r="61" spans="1:19" ht="15">
      <c r="A61" s="42"/>
      <c r="B61" s="33" t="s">
        <v>292</v>
      </c>
      <c r="C61" s="40">
        <f t="shared" si="1"/>
        <v>12394858000</v>
      </c>
      <c r="D61" s="40">
        <v>12394858000</v>
      </c>
      <c r="E61" s="40"/>
      <c r="F61" s="40"/>
      <c r="G61" s="40"/>
      <c r="H61" s="40"/>
      <c r="I61" s="40"/>
      <c r="J61" s="40"/>
      <c r="K61" s="40"/>
      <c r="L61" s="40"/>
      <c r="M61" s="40">
        <f t="shared" si="2"/>
        <v>0</v>
      </c>
      <c r="N61" s="40"/>
      <c r="O61" s="40"/>
      <c r="P61" s="40"/>
      <c r="Q61" s="40"/>
      <c r="R61" s="40"/>
      <c r="S61" s="41"/>
    </row>
    <row r="62" spans="1:19" ht="15">
      <c r="A62" s="42"/>
      <c r="B62" s="33" t="s">
        <v>293</v>
      </c>
      <c r="C62" s="40">
        <f t="shared" si="1"/>
        <v>10339244943.312</v>
      </c>
      <c r="D62" s="40">
        <v>10339244943.312</v>
      </c>
      <c r="E62" s="40"/>
      <c r="F62" s="40"/>
      <c r="G62" s="40"/>
      <c r="H62" s="40"/>
      <c r="I62" s="40"/>
      <c r="J62" s="40"/>
      <c r="K62" s="40"/>
      <c r="L62" s="40"/>
      <c r="M62" s="40">
        <f t="shared" si="2"/>
        <v>0</v>
      </c>
      <c r="N62" s="40"/>
      <c r="O62" s="40"/>
      <c r="P62" s="40"/>
      <c r="Q62" s="40"/>
      <c r="R62" s="40"/>
      <c r="S62" s="41"/>
    </row>
    <row r="63" spans="1:19" ht="15">
      <c r="A63" s="42"/>
      <c r="B63" s="33" t="s">
        <v>294</v>
      </c>
      <c r="C63" s="40">
        <f t="shared" si="1"/>
        <v>9305366760</v>
      </c>
      <c r="D63" s="40">
        <v>9305366760</v>
      </c>
      <c r="E63" s="40"/>
      <c r="F63" s="40"/>
      <c r="G63" s="40"/>
      <c r="H63" s="40"/>
      <c r="I63" s="40"/>
      <c r="J63" s="40"/>
      <c r="K63" s="40"/>
      <c r="L63" s="40"/>
      <c r="M63" s="40">
        <f t="shared" si="2"/>
        <v>0</v>
      </c>
      <c r="N63" s="40"/>
      <c r="O63" s="40"/>
      <c r="P63" s="40"/>
      <c r="Q63" s="40"/>
      <c r="R63" s="40"/>
      <c r="S63" s="41"/>
    </row>
    <row r="64" spans="1:19" ht="15">
      <c r="A64" s="42"/>
      <c r="B64" s="33" t="s">
        <v>295</v>
      </c>
      <c r="C64" s="40">
        <f t="shared" si="1"/>
        <v>5185131588</v>
      </c>
      <c r="D64" s="40">
        <v>5185131588</v>
      </c>
      <c r="E64" s="40"/>
      <c r="F64" s="40"/>
      <c r="G64" s="40"/>
      <c r="H64" s="40"/>
      <c r="I64" s="40"/>
      <c r="J64" s="40"/>
      <c r="K64" s="40"/>
      <c r="L64" s="40"/>
      <c r="M64" s="40">
        <f t="shared" si="2"/>
        <v>0</v>
      </c>
      <c r="N64" s="40"/>
      <c r="O64" s="40"/>
      <c r="P64" s="40"/>
      <c r="Q64" s="40"/>
      <c r="R64" s="40"/>
      <c r="S64" s="41"/>
    </row>
    <row r="65" spans="1:19" ht="15">
      <c r="A65" s="42"/>
      <c r="B65" s="33" t="s">
        <v>296</v>
      </c>
      <c r="C65" s="40">
        <f t="shared" si="1"/>
        <v>6584169164.470589</v>
      </c>
      <c r="D65" s="40">
        <v>6584169164.470589</v>
      </c>
      <c r="E65" s="40"/>
      <c r="F65" s="40"/>
      <c r="G65" s="40"/>
      <c r="H65" s="40"/>
      <c r="I65" s="40"/>
      <c r="J65" s="40"/>
      <c r="K65" s="40"/>
      <c r="L65" s="40"/>
      <c r="M65" s="40">
        <f t="shared" si="2"/>
        <v>0</v>
      </c>
      <c r="N65" s="40"/>
      <c r="O65" s="40"/>
      <c r="P65" s="40"/>
      <c r="Q65" s="40"/>
      <c r="R65" s="40"/>
      <c r="S65" s="41"/>
    </row>
    <row r="66" spans="1:19" ht="15">
      <c r="A66" s="42"/>
      <c r="B66" s="33" t="s">
        <v>297</v>
      </c>
      <c r="C66" s="40">
        <f t="shared" si="1"/>
        <v>6928525211.86</v>
      </c>
      <c r="D66" s="40">
        <v>6928525211.86</v>
      </c>
      <c r="E66" s="40"/>
      <c r="F66" s="40"/>
      <c r="G66" s="40"/>
      <c r="H66" s="40"/>
      <c r="I66" s="40"/>
      <c r="J66" s="40"/>
      <c r="K66" s="40"/>
      <c r="L66" s="40"/>
      <c r="M66" s="40">
        <f t="shared" si="2"/>
        <v>0</v>
      </c>
      <c r="N66" s="40"/>
      <c r="O66" s="40"/>
      <c r="P66" s="40"/>
      <c r="Q66" s="40"/>
      <c r="R66" s="40"/>
      <c r="S66" s="41"/>
    </row>
    <row r="67" spans="1:19" ht="15">
      <c r="A67" s="42"/>
      <c r="B67" s="33" t="s">
        <v>298</v>
      </c>
      <c r="C67" s="40">
        <f t="shared" si="1"/>
        <v>6330938839.54</v>
      </c>
      <c r="D67" s="40">
        <v>6330938839.54</v>
      </c>
      <c r="E67" s="40"/>
      <c r="F67" s="40"/>
      <c r="G67" s="40"/>
      <c r="H67" s="40"/>
      <c r="I67" s="40"/>
      <c r="J67" s="40"/>
      <c r="K67" s="40"/>
      <c r="L67" s="40"/>
      <c r="M67" s="40">
        <f t="shared" si="2"/>
        <v>0</v>
      </c>
      <c r="N67" s="40"/>
      <c r="O67" s="40"/>
      <c r="P67" s="40"/>
      <c r="Q67" s="40"/>
      <c r="R67" s="40"/>
      <c r="S67" s="41"/>
    </row>
    <row r="68" spans="1:19" ht="15">
      <c r="A68" s="42"/>
      <c r="B68" s="33" t="s">
        <v>299</v>
      </c>
      <c r="C68" s="40">
        <f t="shared" si="1"/>
        <v>12623305236.72</v>
      </c>
      <c r="D68" s="40">
        <v>12623305236.72</v>
      </c>
      <c r="E68" s="40"/>
      <c r="F68" s="40"/>
      <c r="G68" s="40"/>
      <c r="H68" s="40"/>
      <c r="I68" s="40"/>
      <c r="J68" s="40"/>
      <c r="K68" s="40"/>
      <c r="L68" s="40"/>
      <c r="M68" s="40">
        <f t="shared" si="2"/>
        <v>0</v>
      </c>
      <c r="N68" s="40"/>
      <c r="O68" s="40"/>
      <c r="P68" s="40"/>
      <c r="Q68" s="40"/>
      <c r="R68" s="40"/>
      <c r="S68" s="41"/>
    </row>
    <row r="69" spans="1:19" ht="15">
      <c r="A69" s="42"/>
      <c r="B69" s="33" t="s">
        <v>300</v>
      </c>
      <c r="C69" s="40">
        <f t="shared" si="1"/>
        <v>4692801563.5</v>
      </c>
      <c r="D69" s="40">
        <v>4692801563.5</v>
      </c>
      <c r="E69" s="40"/>
      <c r="F69" s="40"/>
      <c r="G69" s="40"/>
      <c r="H69" s="40"/>
      <c r="I69" s="40"/>
      <c r="J69" s="40"/>
      <c r="K69" s="40"/>
      <c r="L69" s="40"/>
      <c r="M69" s="40">
        <f t="shared" si="2"/>
        <v>0</v>
      </c>
      <c r="N69" s="40"/>
      <c r="O69" s="40"/>
      <c r="P69" s="40"/>
      <c r="Q69" s="40"/>
      <c r="R69" s="40"/>
      <c r="S69" s="41"/>
    </row>
    <row r="70" spans="1:19" ht="15">
      <c r="A70" s="42"/>
      <c r="B70" s="33" t="s">
        <v>301</v>
      </c>
      <c r="C70" s="40">
        <f t="shared" si="1"/>
        <v>9748601347.072</v>
      </c>
      <c r="D70" s="40">
        <v>9748601347.072</v>
      </c>
      <c r="E70" s="40"/>
      <c r="F70" s="40"/>
      <c r="G70" s="40"/>
      <c r="H70" s="40"/>
      <c r="I70" s="40"/>
      <c r="J70" s="40"/>
      <c r="K70" s="40"/>
      <c r="L70" s="40"/>
      <c r="M70" s="40">
        <f t="shared" si="2"/>
        <v>0</v>
      </c>
      <c r="N70" s="40"/>
      <c r="O70" s="40"/>
      <c r="P70" s="40"/>
      <c r="Q70" s="40"/>
      <c r="R70" s="40"/>
      <c r="S70" s="41"/>
    </row>
    <row r="71" spans="1:19" ht="15">
      <c r="A71" s="42"/>
      <c r="B71" s="33" t="s">
        <v>302</v>
      </c>
      <c r="C71" s="40">
        <f t="shared" si="1"/>
        <v>13600237121.78</v>
      </c>
      <c r="D71" s="40">
        <v>13600237121.78</v>
      </c>
      <c r="E71" s="40"/>
      <c r="F71" s="40"/>
      <c r="G71" s="40"/>
      <c r="H71" s="40"/>
      <c r="I71" s="40"/>
      <c r="J71" s="40"/>
      <c r="K71" s="40"/>
      <c r="L71" s="40"/>
      <c r="M71" s="40">
        <f t="shared" si="2"/>
        <v>0</v>
      </c>
      <c r="N71" s="40"/>
      <c r="O71" s="40"/>
      <c r="P71" s="40"/>
      <c r="Q71" s="40"/>
      <c r="R71" s="40"/>
      <c r="S71" s="41"/>
    </row>
    <row r="72" spans="1:19" ht="15">
      <c r="A72" s="42"/>
      <c r="B72" s="33" t="s">
        <v>303</v>
      </c>
      <c r="C72" s="40">
        <f t="shared" si="1"/>
        <v>17197454217.6</v>
      </c>
      <c r="D72" s="40">
        <v>17197454217.6</v>
      </c>
      <c r="E72" s="40"/>
      <c r="F72" s="40"/>
      <c r="G72" s="40"/>
      <c r="H72" s="40"/>
      <c r="I72" s="40"/>
      <c r="J72" s="40"/>
      <c r="K72" s="40"/>
      <c r="L72" s="40"/>
      <c r="M72" s="40">
        <f t="shared" si="2"/>
        <v>0</v>
      </c>
      <c r="N72" s="40"/>
      <c r="O72" s="40"/>
      <c r="P72" s="40"/>
      <c r="Q72" s="40"/>
      <c r="R72" s="40"/>
      <c r="S72" s="41"/>
    </row>
    <row r="73" spans="1:19" ht="15">
      <c r="A73" s="42"/>
      <c r="B73" s="33" t="s">
        <v>304</v>
      </c>
      <c r="C73" s="40">
        <f t="shared" si="1"/>
        <v>9829615337.6</v>
      </c>
      <c r="D73" s="40">
        <v>9829615337.6</v>
      </c>
      <c r="E73" s="40"/>
      <c r="F73" s="40"/>
      <c r="G73" s="40"/>
      <c r="H73" s="40"/>
      <c r="I73" s="40"/>
      <c r="J73" s="40"/>
      <c r="K73" s="40"/>
      <c r="L73" s="40"/>
      <c r="M73" s="40">
        <f t="shared" si="2"/>
        <v>0</v>
      </c>
      <c r="N73" s="40"/>
      <c r="O73" s="40"/>
      <c r="P73" s="40"/>
      <c r="Q73" s="40"/>
      <c r="R73" s="40"/>
      <c r="S73" s="41"/>
    </row>
    <row r="74" spans="1:19" ht="15">
      <c r="A74" s="42"/>
      <c r="B74" s="33" t="s">
        <v>305</v>
      </c>
      <c r="C74" s="40">
        <f t="shared" si="1"/>
        <v>7736447192</v>
      </c>
      <c r="D74" s="40">
        <v>7736447192</v>
      </c>
      <c r="E74" s="40"/>
      <c r="F74" s="40"/>
      <c r="G74" s="40"/>
      <c r="H74" s="40"/>
      <c r="I74" s="40"/>
      <c r="J74" s="40"/>
      <c r="K74" s="40"/>
      <c r="L74" s="40"/>
      <c r="M74" s="40">
        <f t="shared" si="2"/>
        <v>0</v>
      </c>
      <c r="N74" s="40"/>
      <c r="O74" s="40"/>
      <c r="P74" s="40"/>
      <c r="Q74" s="40"/>
      <c r="R74" s="40"/>
      <c r="S74" s="41"/>
    </row>
    <row r="75" spans="1:19" ht="15">
      <c r="A75" s="42"/>
      <c r="B75" s="33" t="s">
        <v>306</v>
      </c>
      <c r="C75" s="40">
        <f t="shared" si="1"/>
        <v>2941855355</v>
      </c>
      <c r="D75" s="40">
        <v>2941855355</v>
      </c>
      <c r="E75" s="40"/>
      <c r="F75" s="40"/>
      <c r="G75" s="40"/>
      <c r="H75" s="40"/>
      <c r="I75" s="40"/>
      <c r="J75" s="40"/>
      <c r="K75" s="40"/>
      <c r="L75" s="40"/>
      <c r="M75" s="40">
        <f t="shared" si="2"/>
        <v>0</v>
      </c>
      <c r="N75" s="40"/>
      <c r="O75" s="40"/>
      <c r="P75" s="40"/>
      <c r="Q75" s="40"/>
      <c r="R75" s="40"/>
      <c r="S75" s="41"/>
    </row>
    <row r="76" spans="1:19" ht="30">
      <c r="A76" s="42"/>
      <c r="B76" s="33" t="s">
        <v>307</v>
      </c>
      <c r="C76" s="40">
        <f t="shared" si="1"/>
        <v>10441099564</v>
      </c>
      <c r="D76" s="40">
        <v>10441099564</v>
      </c>
      <c r="E76" s="40"/>
      <c r="F76" s="40"/>
      <c r="G76" s="40"/>
      <c r="H76" s="40"/>
      <c r="I76" s="40"/>
      <c r="J76" s="40"/>
      <c r="K76" s="40"/>
      <c r="L76" s="40"/>
      <c r="M76" s="40">
        <f t="shared" si="2"/>
        <v>0</v>
      </c>
      <c r="N76" s="40"/>
      <c r="O76" s="40"/>
      <c r="P76" s="40"/>
      <c r="Q76" s="40"/>
      <c r="R76" s="40"/>
      <c r="S76" s="41"/>
    </row>
    <row r="77" spans="1:19" ht="15">
      <c r="A77" s="42"/>
      <c r="B77" s="33" t="s">
        <v>308</v>
      </c>
      <c r="C77" s="40">
        <f aca="true" t="shared" si="3" ref="C77:C122">D77+E77+F77+G77+H77+I77+J77+K77+L77+M77+P77+Q77+R77+S77</f>
        <v>8428489194.224</v>
      </c>
      <c r="D77" s="40">
        <v>8428489194.224</v>
      </c>
      <c r="E77" s="40"/>
      <c r="F77" s="40"/>
      <c r="G77" s="40"/>
      <c r="H77" s="40"/>
      <c r="I77" s="40"/>
      <c r="J77" s="40"/>
      <c r="K77" s="40"/>
      <c r="L77" s="40"/>
      <c r="M77" s="40">
        <f aca="true" t="shared" si="4" ref="M77:M122">N77+O77</f>
        <v>0</v>
      </c>
      <c r="N77" s="40"/>
      <c r="O77" s="40"/>
      <c r="P77" s="40"/>
      <c r="Q77" s="40"/>
      <c r="R77" s="40"/>
      <c r="S77" s="41"/>
    </row>
    <row r="78" spans="1:19" ht="15">
      <c r="A78" s="42"/>
      <c r="B78" s="33" t="s">
        <v>309</v>
      </c>
      <c r="C78" s="40">
        <f t="shared" si="3"/>
        <v>16573750934.880001</v>
      </c>
      <c r="D78" s="40">
        <v>16573750934.880001</v>
      </c>
      <c r="E78" s="40"/>
      <c r="F78" s="40"/>
      <c r="G78" s="40"/>
      <c r="H78" s="40"/>
      <c r="I78" s="40"/>
      <c r="J78" s="40"/>
      <c r="K78" s="40"/>
      <c r="L78" s="40"/>
      <c r="M78" s="40">
        <f t="shared" si="4"/>
        <v>0</v>
      </c>
      <c r="N78" s="40"/>
      <c r="O78" s="40"/>
      <c r="P78" s="40"/>
      <c r="Q78" s="40"/>
      <c r="R78" s="40"/>
      <c r="S78" s="41"/>
    </row>
    <row r="79" spans="1:19" ht="15">
      <c r="A79" s="42"/>
      <c r="B79" s="33" t="s">
        <v>310</v>
      </c>
      <c r="C79" s="40">
        <f t="shared" si="3"/>
        <v>18118379653.510002</v>
      </c>
      <c r="D79" s="40">
        <v>18118379653.510002</v>
      </c>
      <c r="E79" s="40"/>
      <c r="F79" s="40"/>
      <c r="G79" s="40"/>
      <c r="H79" s="40"/>
      <c r="I79" s="40"/>
      <c r="J79" s="40"/>
      <c r="K79" s="40"/>
      <c r="L79" s="40"/>
      <c r="M79" s="40">
        <f t="shared" si="4"/>
        <v>0</v>
      </c>
      <c r="N79" s="40"/>
      <c r="O79" s="40"/>
      <c r="P79" s="40"/>
      <c r="Q79" s="40"/>
      <c r="R79" s="40"/>
      <c r="S79" s="41"/>
    </row>
    <row r="80" spans="1:19" ht="15">
      <c r="A80" s="42"/>
      <c r="B80" s="33" t="s">
        <v>311</v>
      </c>
      <c r="C80" s="40">
        <f t="shared" si="3"/>
        <v>9072476733.9</v>
      </c>
      <c r="D80" s="40">
        <v>9072476733.9</v>
      </c>
      <c r="E80" s="40"/>
      <c r="F80" s="40"/>
      <c r="G80" s="40"/>
      <c r="H80" s="40"/>
      <c r="I80" s="40"/>
      <c r="J80" s="40"/>
      <c r="K80" s="40"/>
      <c r="L80" s="40"/>
      <c r="M80" s="40">
        <f t="shared" si="4"/>
        <v>0</v>
      </c>
      <c r="N80" s="40"/>
      <c r="O80" s="40"/>
      <c r="P80" s="40"/>
      <c r="Q80" s="40"/>
      <c r="R80" s="40"/>
      <c r="S80" s="41"/>
    </row>
    <row r="81" spans="1:19" ht="15">
      <c r="A81" s="42"/>
      <c r="B81" s="33" t="s">
        <v>312</v>
      </c>
      <c r="C81" s="40">
        <f t="shared" si="3"/>
        <v>14762853553.2</v>
      </c>
      <c r="D81" s="40">
        <v>14762853553.2</v>
      </c>
      <c r="E81" s="40"/>
      <c r="F81" s="40"/>
      <c r="G81" s="40"/>
      <c r="H81" s="40"/>
      <c r="I81" s="40"/>
      <c r="J81" s="40"/>
      <c r="K81" s="40"/>
      <c r="L81" s="40"/>
      <c r="M81" s="40">
        <f t="shared" si="4"/>
        <v>0</v>
      </c>
      <c r="N81" s="40"/>
      <c r="O81" s="40"/>
      <c r="P81" s="40"/>
      <c r="Q81" s="40"/>
      <c r="R81" s="40"/>
      <c r="S81" s="41"/>
    </row>
    <row r="82" spans="1:19" ht="15">
      <c r="A82" s="42"/>
      <c r="B82" s="33" t="s">
        <v>313</v>
      </c>
      <c r="C82" s="40">
        <f t="shared" si="3"/>
        <v>17245306468.54</v>
      </c>
      <c r="D82" s="40">
        <v>17245306468.54</v>
      </c>
      <c r="E82" s="40"/>
      <c r="F82" s="40"/>
      <c r="G82" s="40"/>
      <c r="H82" s="40"/>
      <c r="I82" s="40"/>
      <c r="J82" s="40"/>
      <c r="K82" s="40"/>
      <c r="L82" s="40"/>
      <c r="M82" s="40">
        <f t="shared" si="4"/>
        <v>0</v>
      </c>
      <c r="N82" s="40"/>
      <c r="O82" s="40"/>
      <c r="P82" s="40"/>
      <c r="Q82" s="40"/>
      <c r="R82" s="40"/>
      <c r="S82" s="41"/>
    </row>
    <row r="83" spans="1:19" ht="15">
      <c r="A83" s="42"/>
      <c r="B83" s="33" t="s">
        <v>314</v>
      </c>
      <c r="C83" s="40">
        <f t="shared" si="3"/>
        <v>17129335780</v>
      </c>
      <c r="D83" s="40">
        <v>17129335780</v>
      </c>
      <c r="E83" s="40"/>
      <c r="F83" s="40"/>
      <c r="G83" s="40"/>
      <c r="H83" s="40"/>
      <c r="I83" s="40"/>
      <c r="J83" s="40"/>
      <c r="K83" s="40"/>
      <c r="L83" s="40"/>
      <c r="M83" s="40">
        <f t="shared" si="4"/>
        <v>0</v>
      </c>
      <c r="N83" s="40"/>
      <c r="O83" s="40"/>
      <c r="P83" s="40"/>
      <c r="Q83" s="40"/>
      <c r="R83" s="40"/>
      <c r="S83" s="41"/>
    </row>
    <row r="84" spans="1:19" ht="15">
      <c r="A84" s="42"/>
      <c r="B84" s="33" t="s">
        <v>315</v>
      </c>
      <c r="C84" s="40">
        <f t="shared" si="3"/>
        <v>8448128668.2</v>
      </c>
      <c r="D84" s="40">
        <v>8448128668.2</v>
      </c>
      <c r="E84" s="40"/>
      <c r="F84" s="40"/>
      <c r="G84" s="40"/>
      <c r="H84" s="40"/>
      <c r="I84" s="40"/>
      <c r="J84" s="40"/>
      <c r="K84" s="40"/>
      <c r="L84" s="40"/>
      <c r="M84" s="40">
        <f t="shared" si="4"/>
        <v>0</v>
      </c>
      <c r="N84" s="40"/>
      <c r="O84" s="40"/>
      <c r="P84" s="40"/>
      <c r="Q84" s="40"/>
      <c r="R84" s="40"/>
      <c r="S84" s="41"/>
    </row>
    <row r="85" spans="1:19" ht="15">
      <c r="A85" s="42"/>
      <c r="B85" s="33" t="s">
        <v>316</v>
      </c>
      <c r="C85" s="40">
        <f t="shared" si="3"/>
        <v>8549632195</v>
      </c>
      <c r="D85" s="40">
        <v>8549632195</v>
      </c>
      <c r="E85" s="40"/>
      <c r="F85" s="40"/>
      <c r="G85" s="40"/>
      <c r="H85" s="40"/>
      <c r="I85" s="40"/>
      <c r="J85" s="40"/>
      <c r="K85" s="40"/>
      <c r="L85" s="40"/>
      <c r="M85" s="40">
        <f t="shared" si="4"/>
        <v>0</v>
      </c>
      <c r="N85" s="40"/>
      <c r="O85" s="40"/>
      <c r="P85" s="40"/>
      <c r="Q85" s="40"/>
      <c r="R85" s="40"/>
      <c r="S85" s="41"/>
    </row>
    <row r="86" spans="1:19" ht="30">
      <c r="A86" s="42"/>
      <c r="B86" s="33" t="s">
        <v>317</v>
      </c>
      <c r="C86" s="40">
        <f t="shared" si="3"/>
        <v>9603947798.4</v>
      </c>
      <c r="D86" s="40">
        <v>9603947798.4</v>
      </c>
      <c r="E86" s="40"/>
      <c r="F86" s="40"/>
      <c r="G86" s="40"/>
      <c r="H86" s="40"/>
      <c r="I86" s="40"/>
      <c r="J86" s="40"/>
      <c r="K86" s="40"/>
      <c r="L86" s="40"/>
      <c r="M86" s="40">
        <f t="shared" si="4"/>
        <v>0</v>
      </c>
      <c r="N86" s="40"/>
      <c r="O86" s="40"/>
      <c r="P86" s="40"/>
      <c r="Q86" s="40"/>
      <c r="R86" s="40"/>
      <c r="S86" s="41"/>
    </row>
    <row r="87" spans="1:19" ht="15">
      <c r="A87" s="42"/>
      <c r="B87" s="33" t="s">
        <v>318</v>
      </c>
      <c r="C87" s="40">
        <f t="shared" si="3"/>
        <v>5493900603.636364</v>
      </c>
      <c r="D87" s="40">
        <v>5493900603.636364</v>
      </c>
      <c r="E87" s="40"/>
      <c r="F87" s="40"/>
      <c r="G87" s="40"/>
      <c r="H87" s="40"/>
      <c r="I87" s="40"/>
      <c r="J87" s="40"/>
      <c r="K87" s="40"/>
      <c r="L87" s="40"/>
      <c r="M87" s="40">
        <f t="shared" si="4"/>
        <v>0</v>
      </c>
      <c r="N87" s="40"/>
      <c r="O87" s="40"/>
      <c r="P87" s="40"/>
      <c r="Q87" s="40"/>
      <c r="R87" s="40"/>
      <c r="S87" s="41"/>
    </row>
    <row r="88" spans="1:19" ht="15">
      <c r="A88" s="42"/>
      <c r="B88" s="33" t="s">
        <v>356</v>
      </c>
      <c r="C88" s="40">
        <f t="shared" si="3"/>
        <v>3183732320</v>
      </c>
      <c r="D88" s="40">
        <v>3183732320</v>
      </c>
      <c r="E88" s="40"/>
      <c r="F88" s="40"/>
      <c r="G88" s="40"/>
      <c r="H88" s="40"/>
      <c r="I88" s="40"/>
      <c r="J88" s="40"/>
      <c r="K88" s="40"/>
      <c r="L88" s="40"/>
      <c r="M88" s="40">
        <f t="shared" si="4"/>
        <v>0</v>
      </c>
      <c r="N88" s="40"/>
      <c r="O88" s="40"/>
      <c r="P88" s="40"/>
      <c r="Q88" s="40"/>
      <c r="R88" s="40"/>
      <c r="S88" s="41"/>
    </row>
    <row r="89" spans="1:19" ht="15">
      <c r="A89" s="42"/>
      <c r="B89" s="33" t="s">
        <v>319</v>
      </c>
      <c r="C89" s="40">
        <f t="shared" si="3"/>
        <v>944972400</v>
      </c>
      <c r="D89" s="40">
        <v>944972400</v>
      </c>
      <c r="E89" s="40"/>
      <c r="F89" s="40"/>
      <c r="G89" s="40"/>
      <c r="H89" s="40"/>
      <c r="I89" s="40"/>
      <c r="J89" s="40"/>
      <c r="K89" s="40"/>
      <c r="L89" s="40"/>
      <c r="M89" s="40">
        <f t="shared" si="4"/>
        <v>0</v>
      </c>
      <c r="N89" s="40"/>
      <c r="O89" s="40"/>
      <c r="P89" s="40"/>
      <c r="Q89" s="40"/>
      <c r="R89" s="40"/>
      <c r="S89" s="41"/>
    </row>
    <row r="90" spans="1:19" ht="15">
      <c r="A90" s="42"/>
      <c r="B90" s="33" t="s">
        <v>320</v>
      </c>
      <c r="C90" s="40">
        <f t="shared" si="3"/>
        <v>4244994886</v>
      </c>
      <c r="D90" s="40">
        <v>4244994886</v>
      </c>
      <c r="E90" s="40"/>
      <c r="F90" s="40"/>
      <c r="G90" s="40"/>
      <c r="H90" s="40"/>
      <c r="I90" s="40"/>
      <c r="J90" s="40"/>
      <c r="K90" s="40"/>
      <c r="L90" s="40"/>
      <c r="M90" s="40">
        <f t="shared" si="4"/>
        <v>0</v>
      </c>
      <c r="N90" s="40"/>
      <c r="O90" s="40"/>
      <c r="P90" s="40"/>
      <c r="Q90" s="40"/>
      <c r="R90" s="40"/>
      <c r="S90" s="41"/>
    </row>
    <row r="91" spans="1:19" ht="15">
      <c r="A91" s="42"/>
      <c r="B91" s="33" t="s">
        <v>321</v>
      </c>
      <c r="C91" s="40">
        <f t="shared" si="3"/>
        <v>1649062369.28</v>
      </c>
      <c r="D91" s="40">
        <v>1649062369.28</v>
      </c>
      <c r="E91" s="40"/>
      <c r="F91" s="40"/>
      <c r="G91" s="40"/>
      <c r="H91" s="40"/>
      <c r="I91" s="40"/>
      <c r="J91" s="40"/>
      <c r="K91" s="40"/>
      <c r="L91" s="40"/>
      <c r="M91" s="40">
        <f t="shared" si="4"/>
        <v>0</v>
      </c>
      <c r="N91" s="40"/>
      <c r="O91" s="40"/>
      <c r="P91" s="40"/>
      <c r="Q91" s="40"/>
      <c r="R91" s="40"/>
      <c r="S91" s="41"/>
    </row>
    <row r="92" spans="1:19" ht="15">
      <c r="A92" s="42"/>
      <c r="B92" s="33" t="s">
        <v>358</v>
      </c>
      <c r="C92" s="40">
        <f t="shared" si="3"/>
        <v>5279000000</v>
      </c>
      <c r="D92" s="40">
        <v>5279000000</v>
      </c>
      <c r="E92" s="40"/>
      <c r="F92" s="40"/>
      <c r="G92" s="40"/>
      <c r="H92" s="40"/>
      <c r="I92" s="40"/>
      <c r="J92" s="40"/>
      <c r="K92" s="40"/>
      <c r="L92" s="40"/>
      <c r="M92" s="40">
        <f t="shared" si="4"/>
        <v>0</v>
      </c>
      <c r="N92" s="40"/>
      <c r="O92" s="40"/>
      <c r="P92" s="40"/>
      <c r="Q92" s="40"/>
      <c r="R92" s="40"/>
      <c r="S92" s="41"/>
    </row>
    <row r="93" spans="1:19" ht="15">
      <c r="A93" s="42"/>
      <c r="B93" s="33" t="s">
        <v>357</v>
      </c>
      <c r="C93" s="40">
        <f t="shared" si="3"/>
        <v>3424000000</v>
      </c>
      <c r="D93" s="40"/>
      <c r="E93" s="40"/>
      <c r="F93" s="40"/>
      <c r="G93" s="40"/>
      <c r="H93" s="40"/>
      <c r="I93" s="40">
        <v>3424000000</v>
      </c>
      <c r="J93" s="40"/>
      <c r="K93" s="40"/>
      <c r="L93" s="40"/>
      <c r="M93" s="40">
        <f t="shared" si="4"/>
        <v>0</v>
      </c>
      <c r="N93" s="40"/>
      <c r="O93" s="40"/>
      <c r="P93" s="40"/>
      <c r="Q93" s="40"/>
      <c r="R93" s="40"/>
      <c r="S93" s="41"/>
    </row>
    <row r="94" spans="1:19" ht="15">
      <c r="A94" s="42"/>
      <c r="B94" s="33" t="s">
        <v>322</v>
      </c>
      <c r="C94" s="40">
        <f t="shared" si="3"/>
        <v>1441000000</v>
      </c>
      <c r="D94" s="40"/>
      <c r="E94" s="40"/>
      <c r="F94" s="40"/>
      <c r="G94" s="40"/>
      <c r="H94" s="40"/>
      <c r="I94" s="40">
        <v>1441000000</v>
      </c>
      <c r="J94" s="40"/>
      <c r="K94" s="40"/>
      <c r="L94" s="40"/>
      <c r="M94" s="40">
        <f t="shared" si="4"/>
        <v>0</v>
      </c>
      <c r="N94" s="40"/>
      <c r="O94" s="40"/>
      <c r="P94" s="40"/>
      <c r="Q94" s="40"/>
      <c r="R94" s="40"/>
      <c r="S94" s="41"/>
    </row>
    <row r="95" spans="1:19" ht="15">
      <c r="A95" s="42"/>
      <c r="B95" s="33" t="s">
        <v>323</v>
      </c>
      <c r="C95" s="40">
        <f t="shared" si="3"/>
        <v>1050000000</v>
      </c>
      <c r="D95" s="40"/>
      <c r="E95" s="40"/>
      <c r="F95" s="40"/>
      <c r="G95" s="40"/>
      <c r="H95" s="40">
        <v>1050000000</v>
      </c>
      <c r="I95" s="40"/>
      <c r="J95" s="40"/>
      <c r="K95" s="40"/>
      <c r="L95" s="40"/>
      <c r="M95" s="40">
        <f t="shared" si="4"/>
        <v>0</v>
      </c>
      <c r="N95" s="40"/>
      <c r="O95" s="40"/>
      <c r="P95" s="40"/>
      <c r="Q95" s="40"/>
      <c r="R95" s="40"/>
      <c r="S95" s="41"/>
    </row>
    <row r="96" spans="1:19" ht="15">
      <c r="A96" s="42"/>
      <c r="B96" s="33" t="s">
        <v>324</v>
      </c>
      <c r="C96" s="40">
        <f t="shared" si="3"/>
        <v>30343000000</v>
      </c>
      <c r="D96" s="40"/>
      <c r="E96" s="40"/>
      <c r="F96" s="40"/>
      <c r="G96" s="40"/>
      <c r="H96" s="40">
        <v>30343000000</v>
      </c>
      <c r="I96" s="40"/>
      <c r="J96" s="40"/>
      <c r="K96" s="40"/>
      <c r="L96" s="40"/>
      <c r="M96" s="40">
        <f t="shared" si="4"/>
        <v>0</v>
      </c>
      <c r="N96" s="40"/>
      <c r="O96" s="40"/>
      <c r="P96" s="40"/>
      <c r="Q96" s="40"/>
      <c r="R96" s="40"/>
      <c r="S96" s="41"/>
    </row>
    <row r="97" spans="1:19" ht="15">
      <c r="A97" s="42"/>
      <c r="B97" s="33" t="s">
        <v>325</v>
      </c>
      <c r="C97" s="40">
        <f t="shared" si="3"/>
        <v>1962000000</v>
      </c>
      <c r="D97" s="40"/>
      <c r="E97" s="40"/>
      <c r="F97" s="40"/>
      <c r="G97" s="40"/>
      <c r="H97" s="40"/>
      <c r="I97" s="40"/>
      <c r="J97" s="40"/>
      <c r="K97" s="40">
        <v>1962000000</v>
      </c>
      <c r="L97" s="40"/>
      <c r="M97" s="40">
        <f t="shared" si="4"/>
        <v>0</v>
      </c>
      <c r="N97" s="40"/>
      <c r="O97" s="40"/>
      <c r="P97" s="40"/>
      <c r="Q97" s="40"/>
      <c r="R97" s="40"/>
      <c r="S97" s="41"/>
    </row>
    <row r="98" spans="1:19" ht="15">
      <c r="A98" s="42"/>
      <c r="B98" s="33" t="s">
        <v>326</v>
      </c>
      <c r="C98" s="40">
        <f t="shared" si="3"/>
        <v>2397000000</v>
      </c>
      <c r="D98" s="40">
        <f>1189000000+1208000000</f>
        <v>2397000000</v>
      </c>
      <c r="E98" s="40"/>
      <c r="F98" s="40"/>
      <c r="G98" s="40"/>
      <c r="H98" s="40"/>
      <c r="I98" s="40"/>
      <c r="J98" s="40"/>
      <c r="K98" s="40"/>
      <c r="L98" s="40"/>
      <c r="M98" s="40">
        <f t="shared" si="4"/>
        <v>0</v>
      </c>
      <c r="N98" s="40"/>
      <c r="O98" s="40"/>
      <c r="P98" s="40"/>
      <c r="Q98" s="40"/>
      <c r="R98" s="40"/>
      <c r="S98" s="41"/>
    </row>
    <row r="99" spans="1:19" ht="15">
      <c r="A99" s="42"/>
      <c r="B99" s="33" t="s">
        <v>359</v>
      </c>
      <c r="C99" s="40">
        <f t="shared" si="3"/>
        <v>81352000000</v>
      </c>
      <c r="D99" s="40"/>
      <c r="E99" s="40"/>
      <c r="F99" s="40"/>
      <c r="G99" s="40"/>
      <c r="H99" s="40"/>
      <c r="I99" s="40"/>
      <c r="J99" s="40"/>
      <c r="K99" s="40"/>
      <c r="L99" s="40"/>
      <c r="M99" s="40">
        <f>6695000000+5000000000+25647000000+30433000000+320000000+983000000+12034000000+240000000</f>
        <v>81352000000</v>
      </c>
      <c r="N99" s="40">
        <f>12034000000+240000000</f>
        <v>12274000000</v>
      </c>
      <c r="O99" s="40">
        <v>983000000</v>
      </c>
      <c r="P99" s="40"/>
      <c r="Q99" s="40"/>
      <c r="R99" s="40"/>
      <c r="S99" s="41"/>
    </row>
    <row r="100" spans="1:19" ht="15">
      <c r="A100" s="42"/>
      <c r="B100" s="33" t="s">
        <v>327</v>
      </c>
      <c r="C100" s="40">
        <f t="shared" si="3"/>
        <v>3485000000</v>
      </c>
      <c r="D100" s="40"/>
      <c r="E100" s="40"/>
      <c r="F100" s="40"/>
      <c r="G100" s="40">
        <v>2785000000</v>
      </c>
      <c r="H100" s="40"/>
      <c r="I100" s="40"/>
      <c r="J100" s="40"/>
      <c r="K100" s="40"/>
      <c r="L100" s="40"/>
      <c r="M100" s="40">
        <f t="shared" si="4"/>
        <v>0</v>
      </c>
      <c r="N100" s="40"/>
      <c r="O100" s="40"/>
      <c r="P100" s="40">
        <v>400000000</v>
      </c>
      <c r="Q100" s="40">
        <v>300000000</v>
      </c>
      <c r="R100" s="40"/>
      <c r="S100" s="41"/>
    </row>
    <row r="101" spans="1:19" ht="15">
      <c r="A101" s="42"/>
      <c r="B101" s="33" t="s">
        <v>328</v>
      </c>
      <c r="C101" s="40">
        <f t="shared" si="3"/>
        <v>3788000000</v>
      </c>
      <c r="D101" s="40"/>
      <c r="E101" s="40"/>
      <c r="F101" s="40">
        <v>3788000000</v>
      </c>
      <c r="G101" s="40"/>
      <c r="H101" s="40"/>
      <c r="I101" s="40"/>
      <c r="J101" s="40"/>
      <c r="K101" s="40"/>
      <c r="L101" s="40"/>
      <c r="M101" s="40">
        <f t="shared" si="4"/>
        <v>0</v>
      </c>
      <c r="N101" s="40"/>
      <c r="O101" s="40"/>
      <c r="P101" s="40"/>
      <c r="Q101" s="40"/>
      <c r="R101" s="40"/>
      <c r="S101" s="41"/>
    </row>
    <row r="102" spans="1:19" ht="15">
      <c r="A102" s="42"/>
      <c r="B102" s="33" t="s">
        <v>360</v>
      </c>
      <c r="C102" s="40">
        <f t="shared" si="3"/>
        <v>351000000</v>
      </c>
      <c r="D102" s="40"/>
      <c r="E102" s="40"/>
      <c r="F102" s="40"/>
      <c r="G102" s="40"/>
      <c r="H102" s="40"/>
      <c r="I102" s="40"/>
      <c r="J102" s="40"/>
      <c r="K102" s="40"/>
      <c r="L102" s="40"/>
      <c r="M102" s="40">
        <f t="shared" si="4"/>
        <v>0</v>
      </c>
      <c r="N102" s="40"/>
      <c r="O102" s="40"/>
      <c r="P102" s="40"/>
      <c r="Q102" s="40"/>
      <c r="R102" s="40">
        <v>351000000</v>
      </c>
      <c r="S102" s="41"/>
    </row>
    <row r="103" spans="1:19" ht="15">
      <c r="A103" s="42"/>
      <c r="B103" s="33" t="s">
        <v>329</v>
      </c>
      <c r="C103" s="40">
        <f t="shared" si="3"/>
        <v>918000000</v>
      </c>
      <c r="D103" s="40"/>
      <c r="E103" s="40"/>
      <c r="F103" s="40"/>
      <c r="G103" s="40"/>
      <c r="H103" s="40"/>
      <c r="I103" s="40"/>
      <c r="J103" s="40"/>
      <c r="K103" s="40"/>
      <c r="L103" s="40"/>
      <c r="M103" s="40">
        <f t="shared" si="4"/>
        <v>0</v>
      </c>
      <c r="N103" s="40"/>
      <c r="O103" s="40"/>
      <c r="P103" s="40"/>
      <c r="Q103" s="40"/>
      <c r="R103" s="40">
        <v>918000000</v>
      </c>
      <c r="S103" s="41"/>
    </row>
    <row r="104" spans="1:19" ht="15">
      <c r="A104" s="42"/>
      <c r="B104" s="33" t="s">
        <v>330</v>
      </c>
      <c r="C104" s="40">
        <f t="shared" si="3"/>
        <v>468000000</v>
      </c>
      <c r="D104" s="40"/>
      <c r="E104" s="40"/>
      <c r="F104" s="40"/>
      <c r="G104" s="40"/>
      <c r="H104" s="40"/>
      <c r="I104" s="40"/>
      <c r="J104" s="40"/>
      <c r="K104" s="40"/>
      <c r="L104" s="40"/>
      <c r="M104" s="40">
        <f t="shared" si="4"/>
        <v>0</v>
      </c>
      <c r="N104" s="40"/>
      <c r="O104" s="40"/>
      <c r="P104" s="40"/>
      <c r="Q104" s="40"/>
      <c r="R104" s="40">
        <v>468000000</v>
      </c>
      <c r="S104" s="41"/>
    </row>
    <row r="105" spans="1:19" ht="15">
      <c r="A105" s="42"/>
      <c r="B105" s="33" t="s">
        <v>331</v>
      </c>
      <c r="C105" s="40">
        <f t="shared" si="3"/>
        <v>432000000</v>
      </c>
      <c r="D105" s="40"/>
      <c r="E105" s="40"/>
      <c r="F105" s="40"/>
      <c r="G105" s="40"/>
      <c r="H105" s="40"/>
      <c r="I105" s="40"/>
      <c r="J105" s="40"/>
      <c r="K105" s="40"/>
      <c r="L105" s="40"/>
      <c r="M105" s="40">
        <f t="shared" si="4"/>
        <v>0</v>
      </c>
      <c r="N105" s="40"/>
      <c r="O105" s="40"/>
      <c r="P105" s="40"/>
      <c r="Q105" s="40"/>
      <c r="R105" s="40">
        <v>432000000</v>
      </c>
      <c r="S105" s="41"/>
    </row>
    <row r="106" spans="1:19" ht="15">
      <c r="A106" s="42"/>
      <c r="B106" s="33" t="s">
        <v>332</v>
      </c>
      <c r="C106" s="40">
        <f t="shared" si="3"/>
        <v>102000000</v>
      </c>
      <c r="D106" s="40"/>
      <c r="E106" s="40"/>
      <c r="F106" s="40"/>
      <c r="G106" s="40"/>
      <c r="H106" s="40"/>
      <c r="I106" s="40"/>
      <c r="J106" s="40"/>
      <c r="K106" s="40"/>
      <c r="L106" s="40"/>
      <c r="M106" s="40">
        <f t="shared" si="4"/>
        <v>0</v>
      </c>
      <c r="N106" s="40"/>
      <c r="O106" s="40"/>
      <c r="P106" s="40"/>
      <c r="Q106" s="40"/>
      <c r="R106" s="40">
        <v>102000000</v>
      </c>
      <c r="S106" s="41"/>
    </row>
    <row r="107" spans="1:19" ht="15">
      <c r="A107" s="42"/>
      <c r="B107" s="33" t="s">
        <v>333</v>
      </c>
      <c r="C107" s="40">
        <f t="shared" si="3"/>
        <v>14189432301</v>
      </c>
      <c r="D107" s="40"/>
      <c r="E107" s="40"/>
      <c r="F107" s="40">
        <v>2344526274</v>
      </c>
      <c r="G107" s="40">
        <f>1066736000+36000000</f>
        <v>1102736000</v>
      </c>
      <c r="H107" s="40"/>
      <c r="I107" s="40"/>
      <c r="J107" s="40"/>
      <c r="K107" s="40"/>
      <c r="L107" s="40"/>
      <c r="M107" s="40">
        <f>N107+O107+522760000</f>
        <v>1022760000</v>
      </c>
      <c r="N107" s="40">
        <v>500000000</v>
      </c>
      <c r="O107" s="40"/>
      <c r="P107" s="40">
        <f>8804653836+56396448+288835790+172774944</f>
        <v>9322661018</v>
      </c>
      <c r="Q107" s="40"/>
      <c r="R107" s="40">
        <f>56678430</f>
        <v>56678430</v>
      </c>
      <c r="S107" s="41">
        <v>340070579</v>
      </c>
    </row>
    <row r="108" spans="1:19" ht="30">
      <c r="A108" s="42"/>
      <c r="B108" s="33" t="s">
        <v>334</v>
      </c>
      <c r="C108" s="40">
        <f t="shared" si="3"/>
        <v>12996270503</v>
      </c>
      <c r="D108" s="40"/>
      <c r="E108" s="40"/>
      <c r="F108" s="40">
        <v>1997271674</v>
      </c>
      <c r="G108" s="40">
        <f>1224624000+36000000</f>
        <v>1260624000</v>
      </c>
      <c r="H108" s="40"/>
      <c r="I108" s="40"/>
      <c r="J108" s="40"/>
      <c r="K108" s="40"/>
      <c r="L108" s="40"/>
      <c r="M108" s="40">
        <f>N108+O108+484000000</f>
        <v>984000000</v>
      </c>
      <c r="N108" s="40">
        <v>500000000</v>
      </c>
      <c r="O108" s="40"/>
      <c r="P108" s="40">
        <f>8318543616+53903218+2718853</f>
        <v>8375165687</v>
      </c>
      <c r="Q108" s="40"/>
      <c r="R108" s="40">
        <f>54172735</f>
        <v>54172735</v>
      </c>
      <c r="S108" s="41">
        <v>325036407</v>
      </c>
    </row>
    <row r="109" spans="1:19" ht="15">
      <c r="A109" s="42"/>
      <c r="B109" s="33" t="s">
        <v>335</v>
      </c>
      <c r="C109" s="40">
        <f t="shared" si="3"/>
        <v>11197987692</v>
      </c>
      <c r="D109" s="40"/>
      <c r="E109" s="40"/>
      <c r="F109" s="40">
        <v>1869672146</v>
      </c>
      <c r="G109" s="40">
        <f>571992000+48000000</f>
        <v>619992000</v>
      </c>
      <c r="H109" s="40"/>
      <c r="I109" s="40"/>
      <c r="J109" s="40"/>
      <c r="K109" s="40"/>
      <c r="L109" s="40"/>
      <c r="M109" s="40">
        <f>N109+O109+384055000</f>
        <v>1192875000</v>
      </c>
      <c r="N109" s="40">
        <v>500000000</v>
      </c>
      <c r="O109" s="40">
        <v>308820000</v>
      </c>
      <c r="P109" s="40">
        <f>7144102728+46216032</f>
        <v>7190318760</v>
      </c>
      <c r="Q109" s="40"/>
      <c r="R109" s="40">
        <f>46447112</f>
        <v>46447112</v>
      </c>
      <c r="S109" s="41">
        <v>278682674</v>
      </c>
    </row>
    <row r="110" spans="1:19" ht="15">
      <c r="A110" s="42"/>
      <c r="B110" s="33" t="s">
        <v>336</v>
      </c>
      <c r="C110" s="40">
        <f t="shared" si="3"/>
        <v>12424889389</v>
      </c>
      <c r="D110" s="40"/>
      <c r="E110" s="40"/>
      <c r="F110" s="40">
        <v>2013350274</v>
      </c>
      <c r="G110" s="40">
        <f>948496000+36000000</f>
        <v>984496000</v>
      </c>
      <c r="H110" s="40"/>
      <c r="I110" s="40"/>
      <c r="J110" s="40"/>
      <c r="K110" s="40"/>
      <c r="L110" s="40"/>
      <c r="M110" s="40">
        <f>N110+O110+408284297</f>
        <v>908284297</v>
      </c>
      <c r="N110" s="40">
        <v>500000000</v>
      </c>
      <c r="O110" s="40"/>
      <c r="P110" s="40">
        <f>8104083108+51608676</f>
        <v>8155691784</v>
      </c>
      <c r="Q110" s="40"/>
      <c r="R110" s="40">
        <f>51866719</f>
        <v>51866719</v>
      </c>
      <c r="S110" s="41">
        <v>311200315</v>
      </c>
    </row>
    <row r="111" spans="1:19" ht="15">
      <c r="A111" s="42"/>
      <c r="B111" s="33" t="s">
        <v>337</v>
      </c>
      <c r="C111" s="40">
        <f t="shared" si="3"/>
        <v>15102378297</v>
      </c>
      <c r="D111" s="40"/>
      <c r="E111" s="40"/>
      <c r="F111" s="40">
        <v>2550851554</v>
      </c>
      <c r="G111" s="40">
        <f>1579344000+48000000</f>
        <v>1627344000</v>
      </c>
      <c r="H111" s="40"/>
      <c r="I111" s="40"/>
      <c r="J111" s="40"/>
      <c r="K111" s="40"/>
      <c r="L111" s="40"/>
      <c r="M111" s="40">
        <f>N111+O111+606224740</f>
        <v>1106224740</v>
      </c>
      <c r="N111" s="40">
        <v>500000000</v>
      </c>
      <c r="O111" s="40"/>
      <c r="P111" s="40">
        <f>9304501088+61433841</f>
        <v>9365934929</v>
      </c>
      <c r="Q111" s="40">
        <v>19836000</v>
      </c>
      <c r="R111" s="40">
        <f>61741011</f>
        <v>61741011</v>
      </c>
      <c r="S111" s="41">
        <v>370446063</v>
      </c>
    </row>
    <row r="112" spans="1:19" ht="15">
      <c r="A112" s="42"/>
      <c r="B112" s="33" t="s">
        <v>338</v>
      </c>
      <c r="C112" s="40">
        <f t="shared" si="3"/>
        <v>12333506550</v>
      </c>
      <c r="D112" s="40"/>
      <c r="E112" s="40"/>
      <c r="F112" s="40">
        <v>2082100874</v>
      </c>
      <c r="G112" s="40">
        <f>800320000+48000000</f>
        <v>848320000</v>
      </c>
      <c r="H112" s="40"/>
      <c r="I112" s="40"/>
      <c r="J112" s="40"/>
      <c r="K112" s="40"/>
      <c r="L112" s="40"/>
      <c r="M112" s="40">
        <f>N112+O112+604000000</f>
        <v>1336140000</v>
      </c>
      <c r="N112" s="40">
        <v>500000000</v>
      </c>
      <c r="O112" s="40">
        <v>232140000</v>
      </c>
      <c r="P112" s="40">
        <f>7644521304+50104340</f>
        <v>7694625644</v>
      </c>
      <c r="Q112" s="40">
        <v>19836000</v>
      </c>
      <c r="R112" s="40">
        <f>50354862</f>
        <v>50354862</v>
      </c>
      <c r="S112" s="41">
        <v>302129170</v>
      </c>
    </row>
    <row r="113" spans="1:19" ht="15">
      <c r="A113" s="42"/>
      <c r="B113" s="33" t="s">
        <v>339</v>
      </c>
      <c r="C113" s="40">
        <f t="shared" si="3"/>
        <v>12728419378</v>
      </c>
      <c r="D113" s="40"/>
      <c r="E113" s="40"/>
      <c r="F113" s="40">
        <v>1991675874</v>
      </c>
      <c r="G113" s="40">
        <f>851608000+36000000</f>
        <v>887608000</v>
      </c>
      <c r="H113" s="40"/>
      <c r="I113" s="40"/>
      <c r="J113" s="40"/>
      <c r="K113" s="40"/>
      <c r="L113" s="40"/>
      <c r="M113" s="40">
        <f>N113+O113+879435280</f>
        <v>1948715280</v>
      </c>
      <c r="N113" s="40">
        <v>500000000</v>
      </c>
      <c r="O113" s="40">
        <v>569280000</v>
      </c>
      <c r="P113" s="40">
        <f>7494692416+50495060</f>
        <v>7545187476</v>
      </c>
      <c r="Q113" s="40"/>
      <c r="R113" s="40">
        <f>50747535</f>
        <v>50747535</v>
      </c>
      <c r="S113" s="41">
        <v>304485213</v>
      </c>
    </row>
    <row r="114" spans="1:19" ht="15">
      <c r="A114" s="42"/>
      <c r="B114" s="33" t="s">
        <v>340</v>
      </c>
      <c r="C114" s="40">
        <f t="shared" si="3"/>
        <v>15890623025</v>
      </c>
      <c r="D114" s="40"/>
      <c r="E114" s="40"/>
      <c r="F114" s="40">
        <v>2875286354</v>
      </c>
      <c r="G114" s="40">
        <f>1108256000+48000000</f>
        <v>1156256000</v>
      </c>
      <c r="H114" s="40"/>
      <c r="I114" s="40"/>
      <c r="J114" s="40"/>
      <c r="K114" s="40"/>
      <c r="L114" s="40"/>
      <c r="M114" s="40">
        <f>N114+O114+838033912</f>
        <v>1338033912</v>
      </c>
      <c r="N114" s="40">
        <v>500000000</v>
      </c>
      <c r="O114" s="40"/>
      <c r="P114" s="40">
        <f>9994890176+63014385</f>
        <v>10057904561</v>
      </c>
      <c r="Q114" s="40">
        <v>19836000</v>
      </c>
      <c r="R114" s="40">
        <f>63329457</f>
        <v>63329457</v>
      </c>
      <c r="S114" s="41">
        <v>379976741</v>
      </c>
    </row>
    <row r="115" spans="1:19" ht="15">
      <c r="A115" s="42"/>
      <c r="B115" s="33" t="s">
        <v>341</v>
      </c>
      <c r="C115" s="40">
        <f t="shared" si="3"/>
        <v>11654620988</v>
      </c>
      <c r="D115" s="40"/>
      <c r="E115" s="40"/>
      <c r="F115" s="40">
        <v>1905342874</v>
      </c>
      <c r="G115" s="40">
        <f>869552000+36000000</f>
        <v>905552000</v>
      </c>
      <c r="H115" s="40"/>
      <c r="I115" s="40"/>
      <c r="J115" s="40"/>
      <c r="K115" s="40"/>
      <c r="L115" s="40"/>
      <c r="M115" s="40">
        <f>N115+O115+427527364</f>
        <v>927527364</v>
      </c>
      <c r="N115" s="40">
        <v>500000000</v>
      </c>
      <c r="O115" s="40"/>
      <c r="P115" s="40">
        <f>7512005232+47835410</f>
        <v>7559840642</v>
      </c>
      <c r="Q115" s="40">
        <v>19836000</v>
      </c>
      <c r="R115" s="40">
        <f>48074587</f>
        <v>48074587</v>
      </c>
      <c r="S115" s="41">
        <v>288447521</v>
      </c>
    </row>
    <row r="116" spans="1:19" ht="15">
      <c r="A116" s="42"/>
      <c r="B116" s="33" t="s">
        <v>342</v>
      </c>
      <c r="C116" s="40">
        <f t="shared" si="3"/>
        <v>13412217498</v>
      </c>
      <c r="D116" s="40"/>
      <c r="E116" s="40"/>
      <c r="F116" s="40">
        <v>2195001874</v>
      </c>
      <c r="G116" s="40">
        <f>1204888000+48000000</f>
        <v>1252888000</v>
      </c>
      <c r="H116" s="40"/>
      <c r="I116" s="40"/>
      <c r="J116" s="40"/>
      <c r="K116" s="40"/>
      <c r="L116" s="40"/>
      <c r="M116" s="40">
        <f>N116+O116+519527944</f>
        <v>1019527944</v>
      </c>
      <c r="N116" s="40">
        <v>500000000</v>
      </c>
      <c r="O116" s="40"/>
      <c r="P116" s="40">
        <f>8483086928+54705756</f>
        <v>8537792684</v>
      </c>
      <c r="Q116" s="40">
        <v>22152000</v>
      </c>
      <c r="R116" s="40">
        <f>54979285</f>
        <v>54979285</v>
      </c>
      <c r="S116" s="41">
        <v>329875711</v>
      </c>
    </row>
    <row r="117" spans="1:19" ht="15">
      <c r="A117" s="42"/>
      <c r="B117" s="33" t="s">
        <v>343</v>
      </c>
      <c r="C117" s="40">
        <f t="shared" si="3"/>
        <v>11844212473</v>
      </c>
      <c r="D117" s="40"/>
      <c r="E117" s="40"/>
      <c r="F117" s="40">
        <v>1850082594</v>
      </c>
      <c r="G117" s="40">
        <f>884608000+36000000</f>
        <v>920608000</v>
      </c>
      <c r="H117" s="40"/>
      <c r="I117" s="40"/>
      <c r="J117" s="40"/>
      <c r="K117" s="40"/>
      <c r="L117" s="40"/>
      <c r="M117" s="40">
        <f>N117+O117+287473000</f>
        <v>787473000</v>
      </c>
      <c r="N117" s="40">
        <v>500000000</v>
      </c>
      <c r="O117" s="40"/>
      <c r="P117" s="40">
        <f>7889967770+49294475</f>
        <v>7939262245</v>
      </c>
      <c r="Q117" s="40"/>
      <c r="R117" s="40">
        <f>49540948</f>
        <v>49540948</v>
      </c>
      <c r="S117" s="41">
        <v>297245686</v>
      </c>
    </row>
    <row r="118" spans="1:19" ht="30">
      <c r="A118" s="42"/>
      <c r="B118" s="33" t="s">
        <v>345</v>
      </c>
      <c r="C118" s="40">
        <f t="shared" si="3"/>
        <v>28068000000</v>
      </c>
      <c r="D118" s="40"/>
      <c r="E118" s="40"/>
      <c r="F118" s="40"/>
      <c r="G118" s="40"/>
      <c r="H118" s="40"/>
      <c r="I118" s="40"/>
      <c r="J118" s="40"/>
      <c r="K118" s="40"/>
      <c r="L118" s="40"/>
      <c r="M118" s="40">
        <v>28068000000</v>
      </c>
      <c r="N118" s="40"/>
      <c r="O118" s="40"/>
      <c r="P118" s="40"/>
      <c r="Q118" s="40"/>
      <c r="R118" s="40"/>
      <c r="S118" s="41"/>
    </row>
    <row r="119" spans="1:19" ht="30">
      <c r="A119" s="42"/>
      <c r="B119" s="33" t="s">
        <v>346</v>
      </c>
      <c r="C119" s="40">
        <f t="shared" si="3"/>
        <v>0</v>
      </c>
      <c r="D119" s="40"/>
      <c r="E119" s="40"/>
      <c r="F119" s="40"/>
      <c r="G119" s="40"/>
      <c r="H119" s="40"/>
      <c r="I119" s="40"/>
      <c r="J119" s="40"/>
      <c r="K119" s="40"/>
      <c r="L119" s="40"/>
      <c r="M119" s="40">
        <f t="shared" si="4"/>
        <v>0</v>
      </c>
      <c r="N119" s="40"/>
      <c r="O119" s="40"/>
      <c r="P119" s="40"/>
      <c r="Q119" s="40"/>
      <c r="R119" s="40"/>
      <c r="S119" s="41"/>
    </row>
    <row r="120" spans="1:19" ht="30">
      <c r="A120" s="42"/>
      <c r="B120" s="33" t="s">
        <v>347</v>
      </c>
      <c r="C120" s="40">
        <f t="shared" si="3"/>
        <v>0</v>
      </c>
      <c r="D120" s="40"/>
      <c r="E120" s="40"/>
      <c r="F120" s="40"/>
      <c r="G120" s="40"/>
      <c r="H120" s="40"/>
      <c r="I120" s="40"/>
      <c r="J120" s="40"/>
      <c r="K120" s="40"/>
      <c r="L120" s="40"/>
      <c r="M120" s="40">
        <f t="shared" si="4"/>
        <v>0</v>
      </c>
      <c r="N120" s="40"/>
      <c r="O120" s="40"/>
      <c r="P120" s="40"/>
      <c r="Q120" s="40"/>
      <c r="R120" s="40"/>
      <c r="S120" s="41"/>
    </row>
    <row r="121" spans="1:19" ht="15">
      <c r="A121" s="42"/>
      <c r="B121" s="33" t="s">
        <v>350</v>
      </c>
      <c r="C121" s="40">
        <f t="shared" si="3"/>
        <v>22745000000</v>
      </c>
      <c r="D121" s="40"/>
      <c r="E121" s="40"/>
      <c r="F121" s="40"/>
      <c r="G121" s="40"/>
      <c r="H121" s="40"/>
      <c r="I121" s="40"/>
      <c r="J121" s="40"/>
      <c r="K121" s="40"/>
      <c r="L121" s="40"/>
      <c r="M121" s="40">
        <f t="shared" si="4"/>
        <v>0</v>
      </c>
      <c r="N121" s="40"/>
      <c r="O121" s="40"/>
      <c r="P121" s="40"/>
      <c r="Q121" s="40"/>
      <c r="R121" s="40"/>
      <c r="S121" s="41">
        <v>22745000000</v>
      </c>
    </row>
    <row r="122" spans="1:19" ht="15">
      <c r="A122" s="42"/>
      <c r="B122" s="33" t="s">
        <v>349</v>
      </c>
      <c r="C122" s="40">
        <f t="shared" si="3"/>
        <v>4313000000</v>
      </c>
      <c r="D122" s="40"/>
      <c r="E122" s="40"/>
      <c r="F122" s="40"/>
      <c r="G122" s="40"/>
      <c r="H122" s="40"/>
      <c r="I122" s="40"/>
      <c r="J122" s="40"/>
      <c r="K122" s="40"/>
      <c r="L122" s="40"/>
      <c r="M122" s="40">
        <f t="shared" si="4"/>
        <v>0</v>
      </c>
      <c r="N122" s="40"/>
      <c r="O122" s="40"/>
      <c r="P122" s="40"/>
      <c r="Q122" s="40"/>
      <c r="R122" s="40">
        <v>4313000000</v>
      </c>
      <c r="S122" s="41"/>
    </row>
  </sheetData>
  <sheetProtection/>
  <mergeCells count="23">
    <mergeCell ref="A1:C1"/>
    <mergeCell ref="A2:C2"/>
    <mergeCell ref="Q1:S1"/>
    <mergeCell ref="A5:S5"/>
    <mergeCell ref="S8:S9"/>
    <mergeCell ref="A4:R4"/>
    <mergeCell ref="M8:M9"/>
    <mergeCell ref="N8:O8"/>
    <mergeCell ref="P8:P9"/>
    <mergeCell ref="Q8:Q9"/>
    <mergeCell ref="R8:R9"/>
    <mergeCell ref="G8:G9"/>
    <mergeCell ref="H8:H9"/>
    <mergeCell ref="I8:I9"/>
    <mergeCell ref="J8:J9"/>
    <mergeCell ref="K8:K9"/>
    <mergeCell ref="L8:L9"/>
    <mergeCell ref="A8:A9"/>
    <mergeCell ref="B8:B9"/>
    <mergeCell ref="C8:C9"/>
    <mergeCell ref="D8:D9"/>
    <mergeCell ref="E8:E9"/>
    <mergeCell ref="F8:F9"/>
  </mergeCells>
  <printOptions/>
  <pageMargins left="0.15748031496062992" right="0.15748031496062992" top="0.1968503937007874" bottom="0.2362204724409449" header="0.15748031496062992" footer="0.1574803149606299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Tug</cp:lastModifiedBy>
  <cp:lastPrinted>2018-01-10T07:22:14Z</cp:lastPrinted>
  <dcterms:created xsi:type="dcterms:W3CDTF">2017-12-01T01:41:06Z</dcterms:created>
  <dcterms:modified xsi:type="dcterms:W3CDTF">2018-01-10T07:23:29Z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